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947" firstSheet="3" activeTab="3"/>
  </bookViews>
  <sheets>
    <sheet name="програм 206" sheetId="1" r:id="rId1"/>
    <sheet name="прил2-348" sheetId="2" r:id="rId2"/>
    <sheet name="прил3-37-ПГ" sheetId="3" r:id="rId3"/>
    <sheet name="декабрь" sheetId="4" r:id="rId4"/>
  </sheets>
  <definedNames>
    <definedName name="_xlnm.Print_Titles" localSheetId="3">'декабрь'!$8:$11</definedName>
    <definedName name="_xlnm.Print_Titles" localSheetId="1">'прил2-348'!$9:$12</definedName>
    <definedName name="_xlnm.Print_Titles" localSheetId="2">'прил3-37-ПГ'!$9:$12</definedName>
  </definedNames>
  <calcPr fullCalcOnLoad="1"/>
</workbook>
</file>

<file path=xl/sharedStrings.xml><?xml version="1.0" encoding="utf-8"?>
<sst xmlns="http://schemas.openxmlformats.org/spreadsheetml/2006/main" count="806" uniqueCount="205">
  <si>
    <t>№ п/п</t>
  </si>
  <si>
    <t>Содержание мероприятия</t>
  </si>
  <si>
    <t>ответственный исполнитель</t>
  </si>
  <si>
    <t>срок исполнения (квартал)</t>
  </si>
  <si>
    <t>финансовое обеспечение</t>
  </si>
  <si>
    <t>Источник финансирования</t>
  </si>
  <si>
    <t>Всего объем финансирования</t>
  </si>
  <si>
    <t>в том числе объем финансирования по годам (тыс.руб.)</t>
  </si>
  <si>
    <t>1. Подпрограмма "Строительство объектов жилищного хозяйства на территории Пуровского района в 2009 - 2012 годах"</t>
  </si>
  <si>
    <t>Многоквартирный социальный жилой дом, г.Тарко-Сале Пуровского района, в том числе проектно-изыскательские работы</t>
  </si>
  <si>
    <t>36-ти квартирный жилой дом в городе Тарко-Сале, в том числе ПИР</t>
  </si>
  <si>
    <t>12-ти квартирный жилой дом в селе Халясавэй</t>
  </si>
  <si>
    <t>МУ "КСиА Пуровского района"</t>
  </si>
  <si>
    <t>бюджет Пуровского района</t>
  </si>
  <si>
    <t>Итого по подпрограмме</t>
  </si>
  <si>
    <t>2. Подпрограмма "Строительство объектов коммунального хозяйства на территории Пуровского района в 2009 - 2012 годах"</t>
  </si>
  <si>
    <t>1.1</t>
  </si>
  <si>
    <t>1.2</t>
  </si>
  <si>
    <t>1.3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</si>
  <si>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</si>
  <si>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</si>
  <si>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</si>
  <si>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</si>
  <si>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</si>
  <si>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</si>
  <si>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</si>
  <si>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</si>
  <si>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</si>
  <si>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</si>
  <si>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</si>
  <si>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2.12.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</si>
  <si>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</si>
  <si>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</si>
  <si>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</si>
  <si>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</si>
  <si>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</si>
  <si>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</si>
  <si>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</si>
  <si>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</si>
  <si>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</si>
  <si>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</si>
  <si>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</si>
  <si>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</si>
  <si>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</si>
  <si>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Канализационные очистные сооружения производительностью 100 мз/сут. в д. Харампур Пуровского района ЯНАО</t>
  </si>
  <si>
    <t>Канализационные очистные сооружения п. Уренгой Пуровского района</t>
  </si>
  <si>
    <t>Полигон твердых бытовых отходов, г. Тарко-Сале Пуровского района</t>
  </si>
  <si>
    <t>Станция очистки воды в                п. Пуровск, в том числе ПИР</t>
  </si>
  <si>
    <t xml:space="preserve">Склад ГСМ в селе Самбург Пуровского района </t>
  </si>
  <si>
    <t>Блочно-модульная котельная № 2 в г. Тарко-Сале Пуровского района, в том числе проектно-изыскательские работы</t>
  </si>
  <si>
    <t>Кольцевой водопровод в городе Тарко-Сале, в том числе ПИР</t>
  </si>
  <si>
    <r>
      <t xml:space="preserve">Двухцепная ВЛ-10 кВ от ПС  </t>
    </r>
    <r>
      <rPr>
        <sz val="10"/>
        <color indexed="8"/>
        <rFont val="Symbol"/>
        <family val="1"/>
      </rPr>
      <t>²</t>
    </r>
    <r>
      <rPr>
        <sz val="10"/>
        <color indexed="8"/>
        <rFont val="Times New Roman"/>
        <family val="1"/>
      </rPr>
      <t>Геолог</t>
    </r>
    <r>
      <rPr>
        <sz val="10"/>
        <color indexed="8"/>
        <rFont val="Symbol"/>
        <family val="1"/>
      </rPr>
      <t>²</t>
    </r>
    <r>
      <rPr>
        <sz val="10"/>
        <color indexed="8"/>
        <rFont val="Times New Roman"/>
        <family val="1"/>
      </rPr>
      <t xml:space="preserve"> ТП до РП по объекту "КОС" в г.Тарко-Сале</t>
    </r>
  </si>
  <si>
    <t>Реконструкция ул.Совхозная-Республики с инженерными сетями в г.Тарко-Сале</t>
  </si>
  <si>
    <t>Полигон твердых бытовых бытовых отходов в поселке Уренгой Пуровского района - ПИР</t>
  </si>
  <si>
    <t>Полигон твердых бытовых отходов в поселке Пурпе Пуровского района – ПИР</t>
  </si>
  <si>
    <t>Полигон твердых бытовых отходов в поселке Ханымей Пуровского района – ПИР</t>
  </si>
  <si>
    <t>Полигон твердых бытовых отходов в селе Самбург Пуровского района – ПИР</t>
  </si>
  <si>
    <t>Полигон твердых бытовых отходов в селе Халясавэй Пуровского района – ПИР</t>
  </si>
  <si>
    <t>Полигон твердых бытовых отходов в деревне Харампур Пуровского района – ПИР</t>
  </si>
  <si>
    <t>Водозабор и очистные сооружения с.Самбург (ПИР)</t>
  </si>
  <si>
    <t>Канализация п. Самбург Пуровского района ЯНАО</t>
  </si>
  <si>
    <t>Канализационые очистные сооружения производительностью 240 мз/сут. с инженерными сетями в поселке Пурпе – ПИР</t>
  </si>
  <si>
    <t>Водозабор в поселке Пурпе - ПИР</t>
  </si>
  <si>
    <t>Реконструкция канализационных очистных сооружений в поселке Ханымей – ПИР</t>
  </si>
  <si>
    <t>Сети канализации с КНС в поселке Пуровск – ПИР</t>
  </si>
  <si>
    <t>ул. Губкина-Тарасова с инженерными сетями в г. Тарко-Сале ГКНС, КНС № 5, ТП,            г. Тарко-Сале</t>
  </si>
  <si>
    <t>Реконструкция объекта "Станция озонирования и очистки питьевой воды в г. Тарко-Сале"</t>
  </si>
  <si>
    <t xml:space="preserve">Канализационные очистные сооружения в г. Тарко-Сале производительностью 4,2 тыс.мз/в сут. в блочном исполнении </t>
  </si>
  <si>
    <t>Станция очистки воды в деревне Харампур – ПИР</t>
  </si>
  <si>
    <t>Итого по подпрограмме 2</t>
  </si>
  <si>
    <t>ВСЕГО по программе</t>
  </si>
  <si>
    <t>Приложение 1</t>
  </si>
  <si>
    <t>к программе "Строительство объектов</t>
  </si>
  <si>
    <t>жилищно-коммунального хозяйства на</t>
  </si>
  <si>
    <t>территории Пуровского района в 2009 -</t>
  </si>
  <si>
    <t>2012 годах"</t>
  </si>
  <si>
    <t>4 квартал  2010 года</t>
  </si>
  <si>
    <t>4 квартал 2012 года</t>
  </si>
  <si>
    <t>4 квартал 2011 года</t>
  </si>
  <si>
    <t>2 квартал 2010 года</t>
  </si>
  <si>
    <t>3 квартал 2010 года</t>
  </si>
  <si>
    <t>1 квартал 2011 года</t>
  </si>
  <si>
    <t>Мероприятия районной целевой программы "Строительство объектов жилищно-коммунального хозяйства на территории Пуровского района в 2009 - 2012 годах"</t>
  </si>
  <si>
    <t>4 квартал 2010 года</t>
  </si>
  <si>
    <t>1 квартал 2012 года</t>
  </si>
  <si>
    <t>Ответственный исполнитель</t>
  </si>
  <si>
    <t>Приложение</t>
  </si>
  <si>
    <t xml:space="preserve">к постановлению Главы района </t>
  </si>
  <si>
    <t>от__ __________ 2009  г. №___</t>
  </si>
  <si>
    <t>СМР</t>
  </si>
  <si>
    <t>ПИР</t>
  </si>
  <si>
    <t>Корректировка рабочего проекта "Водоснабжение с.Самбург Пуровского района"</t>
  </si>
  <si>
    <t>ул. Губкина-Тарасова с инженерными сетями в г. Тарко-Сале ГКНС, КНС № 5, ТП,   г. Тарко-Сале</t>
  </si>
  <si>
    <t>1.4</t>
  </si>
  <si>
    <t>1.5</t>
  </si>
  <si>
    <t>1.6</t>
  </si>
  <si>
    <t>1.7</t>
  </si>
  <si>
    <t>2.12</t>
  </si>
  <si>
    <t>2.26</t>
  </si>
  <si>
    <t>2.27</t>
  </si>
  <si>
    <t>2.28</t>
  </si>
  <si>
    <t>Канализация п.Самбург Пуровского района ЯНАО. КОС производительностью 200м3/сут</t>
  </si>
  <si>
    <t>36-ти квартирный жилой дом в городе Тарко-Сале Пуровского района</t>
  </si>
  <si>
    <t>36-ти квартирный жилой дом в поселке Уренгой Пуровского района</t>
  </si>
  <si>
    <t>36-ти квартирный жилой дом в поселке Пурпе Пуровского района</t>
  </si>
  <si>
    <t>12-ти квартирный жилой дом в с.Халясавэй</t>
  </si>
  <si>
    <t>12-ти квартирный жилой дом в д.Харампур</t>
  </si>
  <si>
    <t>ул. Губкина-Тарасова с инженерными сетями в г. Тарко-Сале,ГКНС, КНС№5, ТП, г. Тарко-Сале Пуровского района</t>
  </si>
  <si>
    <t>Блочно-модульная котельная № 2 в городе Тарко-Сале Пуровского района, в том числе проектно-изыскательские работы</t>
  </si>
  <si>
    <t>Станция очистки воды в п.Пуровск</t>
  </si>
  <si>
    <t>Многоквартирный жилой дом для работающих на производствах АПК  в г. Тарко-Сале, Пуровского района, ЯНАО</t>
  </si>
  <si>
    <t>Инженерное обеспечение мкр. "Окуневое" в городе Тарко-Сале</t>
  </si>
  <si>
    <t xml:space="preserve">Инженерное обеспечение 6-го мкр. п.г.т. Уренгой </t>
  </si>
  <si>
    <t>3 квартал 2012 года</t>
  </si>
  <si>
    <t>2 квартал 2012 года</t>
  </si>
  <si>
    <t>Котельная для ДЮСШ "Виктория" в городе Тарко-Сале</t>
  </si>
  <si>
    <t>2.29</t>
  </si>
  <si>
    <t>2.30</t>
  </si>
  <si>
    <t>Расширение действующей котельной в д.Харампур</t>
  </si>
  <si>
    <t>4 квартал 2013 года</t>
  </si>
  <si>
    <t>4 квартал 2014 года</t>
  </si>
  <si>
    <t>3 квартал 2013 года</t>
  </si>
  <si>
    <t>1 очередь- 4 квартал 2010 года, 2 очередь - 3 квартал 2012 года</t>
  </si>
  <si>
    <t>Инженерное обеспечение микрорайона "Строитель" для индивидуальной застройки в п.Пурпе</t>
  </si>
  <si>
    <t>Кольцевой водопровод в городе Тарко-Сале</t>
  </si>
  <si>
    <t>Реконструкция ул.Республики-Совхозной с инженерными сетями в г.Тарко-Сале</t>
  </si>
  <si>
    <t>Инженерное обеспечение Центральной районной больницы в городе Тарко-Сале Пуровского района</t>
  </si>
  <si>
    <t>Водоснабжние с.Самбург Пуровского района</t>
  </si>
  <si>
    <t>Двухцепная ВЛ-10 кВ от ПС  "Геолог" до РП по объекту "КОС" в г.Тарко-Сале</t>
  </si>
  <si>
    <t>Инженерное обеспечение мкр. Таежный №2 в городе Тарко-Сале</t>
  </si>
  <si>
    <t xml:space="preserve">Канализационные очистные сооружения в п. Уренгой </t>
  </si>
  <si>
    <t>2.31</t>
  </si>
  <si>
    <t>2.32</t>
  </si>
  <si>
    <t>2.33</t>
  </si>
  <si>
    <t>2.34</t>
  </si>
  <si>
    <t>2.35</t>
  </si>
  <si>
    <t>2.36</t>
  </si>
  <si>
    <t>2.37</t>
  </si>
  <si>
    <t>3 квартал 2014 года</t>
  </si>
  <si>
    <t>Инженерное обеспечение жилого мкр. №3 в г.Тарко-Сале</t>
  </si>
  <si>
    <t>Сети водоснабжения в п.Пуровск</t>
  </si>
  <si>
    <t>Полигон твердых бытовых отходов, г.Тарко-Сале Пуровского района, в том числе проектно-изыскательские работы</t>
  </si>
  <si>
    <t>4 квартал 2015 года</t>
  </si>
  <si>
    <t>МКУ "КСиА Пуровского района"</t>
  </si>
  <si>
    <t>Инженерные сети для Канализационных очистных сооружений в п.г.т. Уренгой</t>
  </si>
  <si>
    <t>Сети электроснабжения ВЛ 10 кВ Водозабор Халясавэй</t>
  </si>
  <si>
    <t>Блочно-модульная котельная на 2,5 МВт с инженерными сетями для канализационных очистных сооружений в городе Тарко-Сале производительностью 4,2 тыс.м3/сут. Пуровского района ЯНАО</t>
  </si>
  <si>
    <t>Газоснабжение микрорайонов "Звездный"," Строитель" в п.Пурпе ЯНАО</t>
  </si>
  <si>
    <t>Газопровод к п.г.т.Уренгой. Участок газопровода, соединяющий АГРС с поселковым существующи  газопроводом</t>
  </si>
  <si>
    <t>Пожарный водоем емкостью 100 м3 в д.Харампур</t>
  </si>
  <si>
    <t>Канализация села Самбург</t>
  </si>
  <si>
    <t>Станция очистки воды в поселке Сывдарма</t>
  </si>
  <si>
    <t>Реконструкция сетей ТВС в поселке Сывдарма</t>
  </si>
  <si>
    <t>Инженерное обеспечение детского сада на 300 мест в городе Тарко-Сале</t>
  </si>
  <si>
    <t>Сети канализации по ул.Геологов в городе Тарко-Сале Пуровского района</t>
  </si>
  <si>
    <t>Теплоснабжение с.Самбург</t>
  </si>
  <si>
    <t>Блочно-модульная котельная мощность 5 мВт в поселке Сывдарма</t>
  </si>
  <si>
    <t>2.38</t>
  </si>
  <si>
    <t>2.39</t>
  </si>
  <si>
    <t>2.40</t>
  </si>
  <si>
    <t>2.41</t>
  </si>
  <si>
    <t>Газопровод от Губкинского ГПЗ до п.Пурпе</t>
  </si>
  <si>
    <t>Мероприятия районной долгосрочной целевой программы "Строительство объектов жилищно-коммунального хозяйства на территории Пуровского района в 2009 - 2012 годах"</t>
  </si>
  <si>
    <t>3 квартал  2013 года</t>
  </si>
  <si>
    <t>Газоснабжение жилых домов мкр.Таежный в поселке Уренгой</t>
  </si>
  <si>
    <t>4 квартал  2015 года</t>
  </si>
  <si>
    <t>1 очередь- 4 квартал 2011 года, 2 очередь - 3 квартал 2012 года</t>
  </si>
  <si>
    <t>4 квартал 2015года</t>
  </si>
  <si>
    <t>12 квартирный жилой дом № 2 в деревне Харампур</t>
  </si>
  <si>
    <t>12 квартирный жилой дом в № 2 в селе Халясавэй</t>
  </si>
  <si>
    <t>1.8.</t>
  </si>
  <si>
    <t>1.9.</t>
  </si>
  <si>
    <t>Корректировка генерального плана, правил землепользования и застройки сельского поселения Пуровское Пуровского района</t>
  </si>
  <si>
    <t>Корректировка генерального плана, правил землепользования и застройки п.Уренгой Пуровского района</t>
  </si>
  <si>
    <t>Проекты планировки, проекты межевания, градостроительные планы земельных участков территории сельского  поселения Самбург Пуровского района</t>
  </si>
  <si>
    <t>2012 год</t>
  </si>
  <si>
    <t>"ДСА и жилищной политики"</t>
  </si>
  <si>
    <t xml:space="preserve">Итого по подпрограмме </t>
  </si>
  <si>
    <t>1-но квартирный жилой дом №18 в селе Толька</t>
  </si>
  <si>
    <t>1-но квартирный жилой дом №19 в селе Толька</t>
  </si>
  <si>
    <t>1-но квартирный жилой дом №20 в селе Толька</t>
  </si>
  <si>
    <t>от___ _______ 2012 г. № _____</t>
  </si>
  <si>
    <t>к постановлению Администрации района</t>
  </si>
  <si>
    <t xml:space="preserve">Газопровод к п.г.т.Уренгой. </t>
  </si>
  <si>
    <t>Корректировка расчетной схемы сетей и сооружений канализации и разработка проектных предложений поэтапного развития системы водоотведения на территории МО города Тарко-Сале Пуровского района ЯНАО</t>
  </si>
  <si>
    <t>Полигон твердых бытовых отходов в деревне Харампур Пуровского района</t>
  </si>
  <si>
    <t>Полигон твердых бытовых отходов в поселке Пурпе Пуровского района</t>
  </si>
  <si>
    <t>Полигон твердых бытовых отходов в селе Самбург Пуровского района</t>
  </si>
  <si>
    <t>Полигон твердых бытовых отходов в поселке Уренгой Пуровского района</t>
  </si>
  <si>
    <t>Инженерное обеспечение многофункционального спортивного зала в поселке Ханымей</t>
  </si>
  <si>
    <t>2.42</t>
  </si>
  <si>
    <t>2.43</t>
  </si>
  <si>
    <t>2.44</t>
  </si>
  <si>
    <t>2.45</t>
  </si>
  <si>
    <t>2.46</t>
  </si>
  <si>
    <t>2.47</t>
  </si>
  <si>
    <t>2.48</t>
  </si>
  <si>
    <t>12 квартирный жилой дом в № 3 в селе Халясавэй</t>
  </si>
  <si>
    <t>Многоквартирный  жилой дом в г.Тарко-Сале Пуровского района, ЯНАО</t>
  </si>
  <si>
    <t>1.10</t>
  </si>
  <si>
    <t>1.11</t>
  </si>
  <si>
    <t>1.12</t>
  </si>
  <si>
    <t>1.13.</t>
  </si>
  <si>
    <t>1.14.</t>
  </si>
  <si>
    <t>3 квартал 2015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</si>
</sst>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  <numFmt numFmtId="187" formatCode="0.000"/>
    <numFmt numFmtId="188" formatCode="#,##0.0000"/>
    <numFmt numFmtId="189" formatCode="#,##0.00000"/>
    <numFmt numFmtId="190" formatCode="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185" fontId="1" fillId="0" borderId="10" xfId="0" applyNumberFormat="1" applyFont="1" applyBorder="1" applyAlignment="1">
      <alignment horizontal="center" vertical="center" wrapText="1"/>
    </xf>
    <xf numFmtId="185" fontId="7" fillId="0" borderId="10" xfId="0" applyNumberFormat="1" applyFont="1" applyBorder="1" applyAlignment="1">
      <alignment horizontal="center" vertical="center" wrapText="1"/>
    </xf>
    <xf numFmtId="185" fontId="2" fillId="0" borderId="12" xfId="0" applyNumberFormat="1" applyFont="1" applyBorder="1" applyAlignment="1">
      <alignment horizontal="center" vertical="center" wrapText="1"/>
    </xf>
    <xf numFmtId="187" fontId="3" fillId="0" borderId="10" xfId="0" applyNumberFormat="1" applyFont="1" applyBorder="1" applyAlignment="1">
      <alignment horizontal="center" vertical="top" wrapText="1"/>
    </xf>
    <xf numFmtId="187" fontId="7" fillId="0" borderId="10" xfId="0" applyNumberFormat="1" applyFont="1" applyBorder="1" applyAlignment="1">
      <alignment horizontal="center" vertical="top" wrapText="1"/>
    </xf>
    <xf numFmtId="187" fontId="3" fillId="0" borderId="10" xfId="0" applyNumberFormat="1" applyFont="1" applyBorder="1" applyAlignment="1">
      <alignment horizontal="right" vertical="top" wrapText="1"/>
    </xf>
    <xf numFmtId="187" fontId="2" fillId="0" borderId="10" xfId="0" applyNumberFormat="1" applyFont="1" applyBorder="1" applyAlignment="1">
      <alignment horizontal="center" vertical="center" wrapText="1"/>
    </xf>
    <xf numFmtId="185" fontId="1" fillId="0" borderId="0" xfId="0" applyNumberFormat="1" applyFont="1" applyFill="1" applyAlignment="1">
      <alignment/>
    </xf>
    <xf numFmtId="185" fontId="1" fillId="0" borderId="0" xfId="0" applyNumberFormat="1" applyFont="1" applyFill="1" applyAlignment="1">
      <alignment vertical="center"/>
    </xf>
    <xf numFmtId="3" fontId="0" fillId="0" borderId="0" xfId="0" applyNumberFormat="1" applyFont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center" wrapText="1"/>
    </xf>
    <xf numFmtId="184" fontId="2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187" fontId="7" fillId="0" borderId="15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187" fontId="3" fillId="0" borderId="10" xfId="0" applyNumberFormat="1" applyFont="1" applyBorder="1" applyAlignment="1">
      <alignment horizontal="center" vertical="center" wrapText="1"/>
    </xf>
    <xf numFmtId="187" fontId="1" fillId="0" borderId="10" xfId="0" applyNumberFormat="1" applyFont="1" applyBorder="1" applyAlignment="1">
      <alignment horizontal="center" vertical="center" wrapText="1"/>
    </xf>
    <xf numFmtId="187" fontId="7" fillId="0" borderId="10" xfId="0" applyNumberFormat="1" applyFont="1" applyBorder="1" applyAlignment="1">
      <alignment horizontal="center" vertical="center" wrapText="1"/>
    </xf>
    <xf numFmtId="187" fontId="3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87" fontId="1" fillId="0" borderId="13" xfId="0" applyNumberFormat="1" applyFont="1" applyFill="1" applyBorder="1" applyAlignment="1">
      <alignment horizontal="center" vertical="center" wrapText="1"/>
    </xf>
    <xf numFmtId="187" fontId="1" fillId="0" borderId="10" xfId="0" applyNumberFormat="1" applyFont="1" applyBorder="1" applyAlignment="1">
      <alignment horizontal="right" vertical="center" wrapText="1"/>
    </xf>
    <xf numFmtId="187" fontId="3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7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87" fontId="2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3" fontId="3" fillId="0" borderId="15" xfId="0" applyNumberFormat="1" applyFont="1" applyFill="1" applyBorder="1" applyAlignment="1">
      <alignment horizontal="center" vertical="top" wrapText="1"/>
    </xf>
    <xf numFmtId="185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85" fontId="1" fillId="0" borderId="0" xfId="0" applyNumberFormat="1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0" fillId="0" borderId="0" xfId="0" applyNumberFormat="1" applyFont="1" applyFill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85" fontId="1" fillId="0" borderId="11" xfId="0" applyNumberFormat="1" applyFont="1" applyFill="1" applyBorder="1" applyAlignment="1">
      <alignment horizontal="center" vertical="center" wrapText="1"/>
    </xf>
    <xf numFmtId="185" fontId="1" fillId="0" borderId="12" xfId="0" applyNumberFormat="1" applyFont="1" applyFill="1" applyBorder="1" applyAlignment="1">
      <alignment horizontal="center" vertical="center" wrapText="1"/>
    </xf>
    <xf numFmtId="185" fontId="1" fillId="0" borderId="0" xfId="0" applyNumberFormat="1" applyFont="1" applyBorder="1" applyAlignment="1">
      <alignment vertical="center"/>
    </xf>
    <xf numFmtId="187" fontId="1" fillId="0" borderId="0" xfId="0" applyNumberFormat="1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2" fontId="10" fillId="0" borderId="0" xfId="0" applyNumberFormat="1" applyFont="1" applyFill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185" fontId="1" fillId="34" borderId="10" xfId="0" applyNumberFormat="1" applyFont="1" applyFill="1" applyBorder="1" applyAlignment="1">
      <alignment horizontal="center" vertical="center" wrapText="1"/>
    </xf>
    <xf numFmtId="185" fontId="1" fillId="34" borderId="1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43">
      <selection activeCell="O41" sqref="O41"/>
    </sheetView>
  </sheetViews>
  <sheetFormatPr defaultColWidth="9.140625" defaultRowHeight="12.75"/>
  <cols>
    <col min="1" max="1" width="4.8515625" style="0" customWidth="1"/>
    <col min="2" max="2" width="18.421875" style="0" customWidth="1"/>
    <col min="3" max="3" width="12.57421875" style="0" customWidth="1"/>
    <col min="4" max="4" width="10.7109375" style="0" customWidth="1"/>
    <col min="5" max="5" width="10.421875" style="0" customWidth="1"/>
    <col min="6" max="6" width="9.57421875" style="0" customWidth="1"/>
    <col min="7" max="7" width="8.00390625" style="0" customWidth="1"/>
    <col min="8" max="8" width="8.28125" style="0" customWidth="1"/>
    <col min="9" max="9" width="8.00390625" style="0" customWidth="1"/>
    <col min="10" max="10" width="8.28125" style="0" customWidth="1"/>
  </cols>
  <sheetData>
    <row r="1" spans="1:10" ht="12.75">
      <c r="A1" s="6"/>
      <c r="B1" s="6"/>
      <c r="C1" s="6"/>
      <c r="D1" s="6"/>
      <c r="E1" s="6"/>
      <c r="F1" s="6"/>
      <c r="G1" s="107" t="s">
        <v>71</v>
      </c>
      <c r="H1" s="107"/>
      <c r="I1" s="107"/>
      <c r="J1" s="107"/>
    </row>
    <row r="2" spans="1:10" ht="12.75">
      <c r="A2" s="6"/>
      <c r="B2" s="6"/>
      <c r="C2" s="6"/>
      <c r="D2" s="6"/>
      <c r="E2" s="6"/>
      <c r="F2" s="6"/>
      <c r="G2" s="107" t="s">
        <v>72</v>
      </c>
      <c r="H2" s="107"/>
      <c r="I2" s="107"/>
      <c r="J2" s="107"/>
    </row>
    <row r="3" spans="1:10" ht="12.75">
      <c r="A3" s="6"/>
      <c r="B3" s="6"/>
      <c r="C3" s="6"/>
      <c r="D3" s="6"/>
      <c r="E3" s="6"/>
      <c r="F3" s="6"/>
      <c r="G3" s="107" t="s">
        <v>73</v>
      </c>
      <c r="H3" s="107"/>
      <c r="I3" s="107"/>
      <c r="J3" s="107"/>
    </row>
    <row r="4" spans="1:10" ht="12.75">
      <c r="A4" s="6"/>
      <c r="B4" s="6"/>
      <c r="C4" s="6"/>
      <c r="D4" s="6"/>
      <c r="E4" s="6"/>
      <c r="F4" s="6"/>
      <c r="G4" s="107" t="s">
        <v>74</v>
      </c>
      <c r="H4" s="107"/>
      <c r="I4" s="107"/>
      <c r="J4" s="107"/>
    </row>
    <row r="5" spans="1:10" ht="12.75">
      <c r="A5" s="6"/>
      <c r="B5" s="6"/>
      <c r="C5" s="6"/>
      <c r="D5" s="6"/>
      <c r="E5" s="6"/>
      <c r="F5" s="6"/>
      <c r="G5" s="6" t="s">
        <v>75</v>
      </c>
      <c r="H5" s="6"/>
      <c r="I5" s="6"/>
      <c r="J5" s="6"/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30.75" customHeight="1">
      <c r="A8" s="108" t="s">
        <v>82</v>
      </c>
      <c r="B8" s="108"/>
      <c r="C8" s="108"/>
      <c r="D8" s="108"/>
      <c r="E8" s="108"/>
      <c r="F8" s="108"/>
      <c r="G8" s="108"/>
      <c r="H8" s="108"/>
      <c r="I8" s="108"/>
      <c r="J8" s="108"/>
    </row>
    <row r="10" spans="1:10" ht="12.75">
      <c r="A10" s="117" t="s">
        <v>0</v>
      </c>
      <c r="B10" s="117" t="s">
        <v>1</v>
      </c>
      <c r="C10" s="117" t="s">
        <v>2</v>
      </c>
      <c r="D10" s="117" t="s">
        <v>3</v>
      </c>
      <c r="E10" s="120" t="s">
        <v>4</v>
      </c>
      <c r="F10" s="121"/>
      <c r="G10" s="121"/>
      <c r="H10" s="121"/>
      <c r="I10" s="121"/>
      <c r="J10" s="122"/>
    </row>
    <row r="11" spans="1:10" ht="29.25" customHeight="1">
      <c r="A11" s="118"/>
      <c r="B11" s="118"/>
      <c r="C11" s="118"/>
      <c r="D11" s="118"/>
      <c r="E11" s="117" t="s">
        <v>5</v>
      </c>
      <c r="F11" s="117" t="s">
        <v>6</v>
      </c>
      <c r="G11" s="120" t="s">
        <v>7</v>
      </c>
      <c r="H11" s="121"/>
      <c r="I11" s="121"/>
      <c r="J11" s="122"/>
    </row>
    <row r="12" spans="1:12" ht="37.5" customHeight="1">
      <c r="A12" s="119"/>
      <c r="B12" s="119"/>
      <c r="C12" s="119"/>
      <c r="D12" s="119"/>
      <c r="E12" s="119"/>
      <c r="F12" s="119"/>
      <c r="G12" s="1">
        <v>2009</v>
      </c>
      <c r="H12" s="1">
        <v>2010</v>
      </c>
      <c r="I12" s="1">
        <v>2011</v>
      </c>
      <c r="J12" s="1">
        <v>2012</v>
      </c>
      <c r="K12" s="24">
        <v>226</v>
      </c>
      <c r="L12" s="25">
        <v>310</v>
      </c>
    </row>
    <row r="13" spans="1:12" ht="12.75">
      <c r="A13" s="2">
        <v>1</v>
      </c>
      <c r="B13" s="2">
        <f>A13+1</f>
        <v>2</v>
      </c>
      <c r="C13" s="2">
        <f aca="true" t="shared" si="0" ref="C13:J13">B13+1</f>
        <v>3</v>
      </c>
      <c r="D13" s="2">
        <f t="shared" si="0"/>
        <v>4</v>
      </c>
      <c r="E13" s="2">
        <f t="shared" si="0"/>
        <v>5</v>
      </c>
      <c r="F13" s="2">
        <f t="shared" si="0"/>
        <v>6</v>
      </c>
      <c r="G13" s="2">
        <f t="shared" si="0"/>
        <v>7</v>
      </c>
      <c r="H13" s="2">
        <f t="shared" si="0"/>
        <v>8</v>
      </c>
      <c r="I13" s="2">
        <f t="shared" si="0"/>
        <v>9</v>
      </c>
      <c r="J13" s="2">
        <f t="shared" si="0"/>
        <v>10</v>
      </c>
      <c r="K13" s="26" t="s">
        <v>90</v>
      </c>
      <c r="L13" s="32" t="s">
        <v>89</v>
      </c>
    </row>
    <row r="14" spans="1:12" ht="12.75">
      <c r="A14" s="109" t="s">
        <v>8</v>
      </c>
      <c r="B14" s="110"/>
      <c r="C14" s="110"/>
      <c r="D14" s="110"/>
      <c r="E14" s="110"/>
      <c r="F14" s="110"/>
      <c r="G14" s="110"/>
      <c r="H14" s="110"/>
      <c r="I14" s="110"/>
      <c r="J14" s="111"/>
      <c r="L14" s="33"/>
    </row>
    <row r="15" spans="1:12" ht="89.25">
      <c r="A15" s="7" t="s">
        <v>16</v>
      </c>
      <c r="B15" s="9" t="s">
        <v>9</v>
      </c>
      <c r="C15" s="1" t="s">
        <v>12</v>
      </c>
      <c r="D15" s="1" t="s">
        <v>76</v>
      </c>
      <c r="E15" s="1" t="s">
        <v>13</v>
      </c>
      <c r="F15" s="4">
        <f>G15+H15+I15+J15</f>
        <v>1893</v>
      </c>
      <c r="G15" s="4">
        <v>1706</v>
      </c>
      <c r="H15" s="4">
        <v>187</v>
      </c>
      <c r="I15" s="4">
        <v>0</v>
      </c>
      <c r="J15" s="4">
        <v>0</v>
      </c>
      <c r="L15" s="34">
        <v>1893</v>
      </c>
    </row>
    <row r="16" spans="1:12" ht="51">
      <c r="A16" s="7" t="s">
        <v>17</v>
      </c>
      <c r="B16" s="9" t="s">
        <v>10</v>
      </c>
      <c r="C16" s="1" t="s">
        <v>12</v>
      </c>
      <c r="D16" s="1" t="s">
        <v>77</v>
      </c>
      <c r="E16" s="1" t="s">
        <v>13</v>
      </c>
      <c r="F16" s="4">
        <f>G16+H16+I16+J16</f>
        <v>6250</v>
      </c>
      <c r="G16" s="4">
        <v>0</v>
      </c>
      <c r="H16" s="4">
        <v>250</v>
      </c>
      <c r="I16" s="4">
        <v>3000</v>
      </c>
      <c r="J16" s="4">
        <v>3000</v>
      </c>
      <c r="K16" s="27">
        <v>250</v>
      </c>
      <c r="L16" s="34">
        <v>6000</v>
      </c>
    </row>
    <row r="17" spans="1:12" ht="38.25">
      <c r="A17" s="7" t="s">
        <v>18</v>
      </c>
      <c r="B17" s="9" t="s">
        <v>11</v>
      </c>
      <c r="C17" s="1" t="s">
        <v>12</v>
      </c>
      <c r="D17" s="1" t="s">
        <v>78</v>
      </c>
      <c r="E17" s="1" t="s">
        <v>13</v>
      </c>
      <c r="F17" s="4">
        <f>G17+H17+I17+J17</f>
        <v>1800</v>
      </c>
      <c r="G17" s="4">
        <v>50</v>
      </c>
      <c r="H17" s="4">
        <v>1000</v>
      </c>
      <c r="I17" s="4">
        <v>750</v>
      </c>
      <c r="J17" s="4">
        <v>0</v>
      </c>
      <c r="K17" s="27">
        <v>50</v>
      </c>
      <c r="L17" s="34">
        <v>1750</v>
      </c>
    </row>
    <row r="18" spans="1:12" ht="12.75">
      <c r="A18" s="3"/>
      <c r="B18" s="112" t="s">
        <v>14</v>
      </c>
      <c r="C18" s="113"/>
      <c r="D18" s="113"/>
      <c r="E18" s="114"/>
      <c r="F18" s="8">
        <f aca="true" t="shared" si="1" ref="F18:L18">SUM(F15:F17)</f>
        <v>9943</v>
      </c>
      <c r="G18" s="8">
        <f t="shared" si="1"/>
        <v>1756</v>
      </c>
      <c r="H18" s="8">
        <f t="shared" si="1"/>
        <v>1437</v>
      </c>
      <c r="I18" s="8">
        <f t="shared" si="1"/>
        <v>3750</v>
      </c>
      <c r="J18" s="8">
        <f t="shared" si="1"/>
        <v>3000</v>
      </c>
      <c r="K18" s="30">
        <f t="shared" si="1"/>
        <v>300</v>
      </c>
      <c r="L18" s="35">
        <f t="shared" si="1"/>
        <v>9643</v>
      </c>
    </row>
    <row r="19" spans="1:12" ht="12.75">
      <c r="A19" s="3"/>
      <c r="B19" s="1"/>
      <c r="C19" s="1"/>
      <c r="D19" s="1"/>
      <c r="E19" s="1"/>
      <c r="F19" s="1"/>
      <c r="G19" s="1"/>
      <c r="H19" s="1"/>
      <c r="I19" s="1"/>
      <c r="J19" s="1"/>
      <c r="L19" s="33"/>
    </row>
    <row r="20" spans="1:12" ht="24" customHeight="1">
      <c r="A20" s="115" t="s">
        <v>15</v>
      </c>
      <c r="B20" s="110"/>
      <c r="C20" s="110"/>
      <c r="D20" s="110"/>
      <c r="E20" s="110"/>
      <c r="F20" s="110"/>
      <c r="G20" s="110"/>
      <c r="H20" s="110"/>
      <c r="I20" s="110"/>
      <c r="J20" s="111"/>
      <c r="L20" s="33"/>
    </row>
    <row r="21" spans="1:12" ht="102">
      <c r="A21" s="3" t="s">
        <v>19</v>
      </c>
      <c r="B21" s="9" t="s">
        <v>44</v>
      </c>
      <c r="C21" s="1" t="s">
        <v>12</v>
      </c>
      <c r="D21" s="1" t="s">
        <v>83</v>
      </c>
      <c r="E21" s="1" t="s">
        <v>13</v>
      </c>
      <c r="F21" s="11">
        <v>540</v>
      </c>
      <c r="G21" s="11">
        <v>0</v>
      </c>
      <c r="H21" s="11">
        <v>540</v>
      </c>
      <c r="I21" s="11">
        <v>0</v>
      </c>
      <c r="J21" s="11">
        <v>0</v>
      </c>
      <c r="L21" s="36">
        <v>540</v>
      </c>
    </row>
    <row r="22" spans="1:12" ht="63.75">
      <c r="A22" s="3" t="s">
        <v>20</v>
      </c>
      <c r="B22" s="9" t="s">
        <v>45</v>
      </c>
      <c r="C22" s="1" t="s">
        <v>12</v>
      </c>
      <c r="D22" s="1" t="s">
        <v>77</v>
      </c>
      <c r="E22" s="1" t="s">
        <v>13</v>
      </c>
      <c r="F22" s="10">
        <v>8956</v>
      </c>
      <c r="G22" s="11">
        <v>80</v>
      </c>
      <c r="H22" s="10">
        <v>3000</v>
      </c>
      <c r="I22" s="10">
        <v>3000</v>
      </c>
      <c r="J22" s="10">
        <v>2876</v>
      </c>
      <c r="K22" s="28">
        <v>80</v>
      </c>
      <c r="L22" s="29">
        <v>8876</v>
      </c>
    </row>
    <row r="23" spans="1:12" ht="51">
      <c r="A23" s="3" t="s">
        <v>21</v>
      </c>
      <c r="B23" s="9" t="s">
        <v>46</v>
      </c>
      <c r="C23" s="1" t="s">
        <v>12</v>
      </c>
      <c r="D23" s="1" t="s">
        <v>84</v>
      </c>
      <c r="E23" s="1" t="s">
        <v>13</v>
      </c>
      <c r="F23" s="10">
        <v>7500</v>
      </c>
      <c r="G23" s="11">
        <v>0</v>
      </c>
      <c r="H23" s="10">
        <v>6000</v>
      </c>
      <c r="I23" s="10">
        <v>1500</v>
      </c>
      <c r="J23" s="11">
        <v>0</v>
      </c>
      <c r="K23" s="28">
        <v>1500</v>
      </c>
      <c r="L23" s="29">
        <v>6000</v>
      </c>
    </row>
    <row r="24" spans="1:12" ht="51">
      <c r="A24" s="3" t="s">
        <v>22</v>
      </c>
      <c r="B24" s="9" t="s">
        <v>47</v>
      </c>
      <c r="C24" s="1" t="s">
        <v>12</v>
      </c>
      <c r="D24" s="1" t="s">
        <v>77</v>
      </c>
      <c r="E24" s="1" t="s">
        <v>13</v>
      </c>
      <c r="F24" s="10">
        <v>2529</v>
      </c>
      <c r="G24" s="11">
        <v>29</v>
      </c>
      <c r="H24" s="11">
        <v>0</v>
      </c>
      <c r="I24" s="10">
        <v>1300</v>
      </c>
      <c r="J24" s="10">
        <v>1200</v>
      </c>
      <c r="K24" s="28">
        <v>2529</v>
      </c>
      <c r="L24" s="33"/>
    </row>
    <row r="25" spans="1:12" ht="38.25">
      <c r="A25" s="3" t="s">
        <v>23</v>
      </c>
      <c r="B25" s="9" t="s">
        <v>48</v>
      </c>
      <c r="C25" s="1" t="s">
        <v>12</v>
      </c>
      <c r="D25" s="1" t="s">
        <v>77</v>
      </c>
      <c r="E25" s="1" t="s">
        <v>13</v>
      </c>
      <c r="F25" s="10">
        <v>9600</v>
      </c>
      <c r="G25" s="11"/>
      <c r="H25" s="10">
        <v>3200</v>
      </c>
      <c r="I25" s="10">
        <v>3200</v>
      </c>
      <c r="J25" s="10">
        <v>3200</v>
      </c>
      <c r="K25" s="28">
        <v>3200</v>
      </c>
      <c r="L25" s="29">
        <v>6400</v>
      </c>
    </row>
    <row r="26" spans="1:12" ht="89.25">
      <c r="A26" s="3" t="s">
        <v>24</v>
      </c>
      <c r="B26" s="9" t="s">
        <v>49</v>
      </c>
      <c r="C26" s="1" t="s">
        <v>12</v>
      </c>
      <c r="D26" s="1" t="s">
        <v>81</v>
      </c>
      <c r="E26" s="1" t="s">
        <v>13</v>
      </c>
      <c r="F26" s="10">
        <v>7600</v>
      </c>
      <c r="G26" s="11">
        <v>1600</v>
      </c>
      <c r="H26" s="10">
        <v>4000</v>
      </c>
      <c r="I26" s="10">
        <v>2000</v>
      </c>
      <c r="J26" s="11">
        <v>0</v>
      </c>
      <c r="K26" s="28">
        <v>600</v>
      </c>
      <c r="L26" s="29">
        <v>7000</v>
      </c>
    </row>
    <row r="27" spans="1:12" ht="51">
      <c r="A27" s="3" t="s">
        <v>25</v>
      </c>
      <c r="B27" s="9" t="s">
        <v>50</v>
      </c>
      <c r="C27" s="1" t="s">
        <v>12</v>
      </c>
      <c r="D27" s="1" t="s">
        <v>77</v>
      </c>
      <c r="E27" s="1" t="s">
        <v>13</v>
      </c>
      <c r="F27" s="10">
        <v>5524</v>
      </c>
      <c r="G27" s="11">
        <v>0</v>
      </c>
      <c r="H27" s="10">
        <v>1500</v>
      </c>
      <c r="I27" s="10">
        <v>1500</v>
      </c>
      <c r="J27" s="10">
        <v>2524</v>
      </c>
      <c r="K27" s="28">
        <v>5524</v>
      </c>
      <c r="L27" s="33"/>
    </row>
    <row r="28" spans="1:12" ht="63.75">
      <c r="A28" s="3" t="s">
        <v>26</v>
      </c>
      <c r="B28" s="9" t="s">
        <v>51</v>
      </c>
      <c r="C28" s="1" t="s">
        <v>12</v>
      </c>
      <c r="D28" s="1" t="s">
        <v>76</v>
      </c>
      <c r="E28" s="1" t="s">
        <v>13</v>
      </c>
      <c r="F28" s="10">
        <v>1303</v>
      </c>
      <c r="G28" s="11">
        <v>0</v>
      </c>
      <c r="H28" s="10">
        <v>1303</v>
      </c>
      <c r="I28" s="11"/>
      <c r="J28" s="11"/>
      <c r="L28" s="29">
        <v>1303</v>
      </c>
    </row>
    <row r="29" spans="1:12" ht="76.5">
      <c r="A29" s="3" t="s">
        <v>27</v>
      </c>
      <c r="B29" s="9" t="s">
        <v>52</v>
      </c>
      <c r="C29" s="1" t="s">
        <v>12</v>
      </c>
      <c r="D29" s="1" t="s">
        <v>77</v>
      </c>
      <c r="E29" s="1" t="s">
        <v>13</v>
      </c>
      <c r="F29" s="10">
        <v>4500</v>
      </c>
      <c r="G29" s="11">
        <v>0</v>
      </c>
      <c r="H29" s="11">
        <v>0</v>
      </c>
      <c r="I29" s="10">
        <v>2000</v>
      </c>
      <c r="J29" s="10">
        <v>2500</v>
      </c>
      <c r="K29" s="28">
        <v>4500</v>
      </c>
      <c r="L29" s="33"/>
    </row>
    <row r="30" spans="1:12" ht="63.75">
      <c r="A30" s="3" t="s">
        <v>28</v>
      </c>
      <c r="B30" s="9" t="s">
        <v>53</v>
      </c>
      <c r="C30" s="1" t="s">
        <v>12</v>
      </c>
      <c r="D30" s="1" t="s">
        <v>77</v>
      </c>
      <c r="E30" s="1" t="s">
        <v>13</v>
      </c>
      <c r="F30" s="10">
        <v>3500</v>
      </c>
      <c r="G30" s="11"/>
      <c r="H30" s="11"/>
      <c r="I30" s="10">
        <v>2800</v>
      </c>
      <c r="J30" s="11">
        <v>700</v>
      </c>
      <c r="K30" s="28">
        <v>3500</v>
      </c>
      <c r="L30" s="33"/>
    </row>
    <row r="31" spans="1:12" ht="63.75">
      <c r="A31" s="3" t="s">
        <v>29</v>
      </c>
      <c r="B31" s="9" t="s">
        <v>54</v>
      </c>
      <c r="C31" s="1" t="s">
        <v>12</v>
      </c>
      <c r="D31" s="1" t="s">
        <v>77</v>
      </c>
      <c r="E31" s="1" t="s">
        <v>13</v>
      </c>
      <c r="F31" s="10">
        <v>3500</v>
      </c>
      <c r="G31" s="11"/>
      <c r="H31" s="11"/>
      <c r="I31" s="10">
        <v>2800</v>
      </c>
      <c r="J31" s="11">
        <v>700</v>
      </c>
      <c r="K31" s="28">
        <v>3500</v>
      </c>
      <c r="L31" s="33"/>
    </row>
    <row r="32" spans="1:12" ht="63.75">
      <c r="A32" s="3" t="s">
        <v>30</v>
      </c>
      <c r="B32" s="9" t="s">
        <v>55</v>
      </c>
      <c r="C32" s="1" t="s">
        <v>12</v>
      </c>
      <c r="D32" s="1" t="s">
        <v>77</v>
      </c>
      <c r="E32" s="1" t="s">
        <v>13</v>
      </c>
      <c r="F32" s="10">
        <v>2000</v>
      </c>
      <c r="G32" s="11"/>
      <c r="H32" s="11"/>
      <c r="I32" s="10">
        <v>1500</v>
      </c>
      <c r="J32" s="11">
        <v>500</v>
      </c>
      <c r="K32" s="28">
        <v>2000</v>
      </c>
      <c r="L32" s="33"/>
    </row>
    <row r="33" spans="1:12" ht="63.75">
      <c r="A33" s="3" t="s">
        <v>31</v>
      </c>
      <c r="B33" s="9" t="s">
        <v>56</v>
      </c>
      <c r="C33" s="1" t="s">
        <v>12</v>
      </c>
      <c r="D33" s="1" t="s">
        <v>77</v>
      </c>
      <c r="E33" s="1" t="s">
        <v>13</v>
      </c>
      <c r="F33" s="10">
        <v>2000</v>
      </c>
      <c r="G33" s="11"/>
      <c r="H33" s="11"/>
      <c r="I33" s="10">
        <v>1500</v>
      </c>
      <c r="J33" s="11">
        <v>500</v>
      </c>
      <c r="K33" s="28">
        <v>2000</v>
      </c>
      <c r="L33" s="33"/>
    </row>
    <row r="34" spans="1:12" ht="63.75">
      <c r="A34" s="3" t="s">
        <v>32</v>
      </c>
      <c r="B34" s="9" t="s">
        <v>57</v>
      </c>
      <c r="C34" s="1" t="s">
        <v>12</v>
      </c>
      <c r="D34" s="1" t="s">
        <v>77</v>
      </c>
      <c r="E34" s="1" t="s">
        <v>13</v>
      </c>
      <c r="F34" s="10">
        <v>2000</v>
      </c>
      <c r="G34" s="11"/>
      <c r="H34" s="11"/>
      <c r="I34" s="10">
        <v>1500</v>
      </c>
      <c r="J34" s="11">
        <v>500</v>
      </c>
      <c r="K34" s="28">
        <v>2000</v>
      </c>
      <c r="L34" s="33"/>
    </row>
    <row r="35" spans="1:12" ht="63.75">
      <c r="A35" s="3" t="s">
        <v>33</v>
      </c>
      <c r="B35" s="9" t="s">
        <v>58</v>
      </c>
      <c r="C35" s="1" t="s">
        <v>12</v>
      </c>
      <c r="D35" s="1" t="s">
        <v>77</v>
      </c>
      <c r="E35" s="1" t="s">
        <v>13</v>
      </c>
      <c r="F35" s="10">
        <v>1800</v>
      </c>
      <c r="G35" s="11"/>
      <c r="H35" s="11"/>
      <c r="I35" s="11"/>
      <c r="J35" s="10">
        <v>1800</v>
      </c>
      <c r="K35" s="28">
        <v>1800</v>
      </c>
      <c r="L35" s="33"/>
    </row>
    <row r="36" spans="1:12" ht="51">
      <c r="A36" s="3" t="s">
        <v>34</v>
      </c>
      <c r="B36" s="9" t="s">
        <v>59</v>
      </c>
      <c r="C36" s="1" t="s">
        <v>12</v>
      </c>
      <c r="D36" s="1" t="s">
        <v>77</v>
      </c>
      <c r="E36" s="1" t="s">
        <v>13</v>
      </c>
      <c r="F36" s="10">
        <v>4200</v>
      </c>
      <c r="G36" s="11">
        <v>0</v>
      </c>
      <c r="H36" s="10">
        <v>1400</v>
      </c>
      <c r="I36" s="10">
        <v>1400</v>
      </c>
      <c r="J36" s="10">
        <v>1400</v>
      </c>
      <c r="K36" s="28">
        <v>3350</v>
      </c>
      <c r="L36" s="29">
        <v>850</v>
      </c>
    </row>
    <row r="37" spans="1:12" ht="38.25">
      <c r="A37" s="3" t="s">
        <v>35</v>
      </c>
      <c r="B37" s="9" t="s">
        <v>60</v>
      </c>
      <c r="C37" s="1" t="s">
        <v>12</v>
      </c>
      <c r="D37" s="1" t="s">
        <v>77</v>
      </c>
      <c r="E37" s="1" t="s">
        <v>13</v>
      </c>
      <c r="F37" s="10">
        <v>10000</v>
      </c>
      <c r="G37" s="11"/>
      <c r="H37" s="10">
        <v>3200</v>
      </c>
      <c r="I37" s="10">
        <v>3300</v>
      </c>
      <c r="J37" s="10">
        <v>3500</v>
      </c>
      <c r="K37" s="28">
        <v>1450</v>
      </c>
      <c r="L37" s="29">
        <v>8550</v>
      </c>
    </row>
    <row r="38" spans="1:12" ht="102">
      <c r="A38" s="3" t="s">
        <v>36</v>
      </c>
      <c r="B38" s="9" t="s">
        <v>61</v>
      </c>
      <c r="C38" s="1" t="s">
        <v>12</v>
      </c>
      <c r="D38" s="1" t="s">
        <v>77</v>
      </c>
      <c r="E38" s="1" t="s">
        <v>13</v>
      </c>
      <c r="F38" s="10">
        <v>4300</v>
      </c>
      <c r="G38" s="11">
        <v>0</v>
      </c>
      <c r="H38" s="11">
        <v>0</v>
      </c>
      <c r="I38" s="11">
        <v>0</v>
      </c>
      <c r="J38" s="10">
        <v>4300</v>
      </c>
      <c r="L38" s="36">
        <v>4300</v>
      </c>
    </row>
    <row r="39" spans="1:12" ht="38.25">
      <c r="A39" s="3" t="s">
        <v>37</v>
      </c>
      <c r="B39" s="9" t="s">
        <v>62</v>
      </c>
      <c r="C39" s="1" t="s">
        <v>12</v>
      </c>
      <c r="D39" s="1" t="s">
        <v>77</v>
      </c>
      <c r="E39" s="1" t="s">
        <v>13</v>
      </c>
      <c r="F39" s="10">
        <v>3500</v>
      </c>
      <c r="G39" s="11"/>
      <c r="H39" s="11"/>
      <c r="I39" s="11"/>
      <c r="J39" s="10">
        <v>3500</v>
      </c>
      <c r="K39">
        <v>3500</v>
      </c>
      <c r="L39" s="33"/>
    </row>
    <row r="40" spans="1:12" ht="76.5">
      <c r="A40" s="3" t="s">
        <v>38</v>
      </c>
      <c r="B40" s="9" t="s">
        <v>63</v>
      </c>
      <c r="C40" s="1" t="s">
        <v>12</v>
      </c>
      <c r="D40" s="1" t="s">
        <v>77</v>
      </c>
      <c r="E40" s="1" t="s">
        <v>13</v>
      </c>
      <c r="F40" s="10">
        <v>3800</v>
      </c>
      <c r="G40" s="11"/>
      <c r="H40" s="11"/>
      <c r="I40" s="11"/>
      <c r="J40" s="10">
        <v>3800</v>
      </c>
      <c r="K40">
        <v>3800</v>
      </c>
      <c r="L40" s="33"/>
    </row>
    <row r="41" spans="1:12" ht="38.25">
      <c r="A41" s="3" t="s">
        <v>39</v>
      </c>
      <c r="B41" s="9" t="s">
        <v>64</v>
      </c>
      <c r="C41" s="1" t="s">
        <v>12</v>
      </c>
      <c r="D41" s="1" t="s">
        <v>77</v>
      </c>
      <c r="E41" s="1" t="s">
        <v>13</v>
      </c>
      <c r="F41" s="10">
        <v>3800</v>
      </c>
      <c r="G41" s="11"/>
      <c r="H41" s="11"/>
      <c r="I41" s="11"/>
      <c r="J41" s="10">
        <v>3800</v>
      </c>
      <c r="K41">
        <v>3800</v>
      </c>
      <c r="L41" s="33"/>
    </row>
    <row r="42" spans="1:12" ht="89.25">
      <c r="A42" s="3" t="s">
        <v>40</v>
      </c>
      <c r="B42" s="9" t="s">
        <v>65</v>
      </c>
      <c r="C42" s="1" t="s">
        <v>12</v>
      </c>
      <c r="D42" s="1" t="s">
        <v>77</v>
      </c>
      <c r="E42" s="1" t="s">
        <v>13</v>
      </c>
      <c r="F42" s="10">
        <v>5835</v>
      </c>
      <c r="G42" s="11">
        <v>985</v>
      </c>
      <c r="H42" s="10">
        <v>1250</v>
      </c>
      <c r="I42" s="10">
        <v>2300</v>
      </c>
      <c r="J42" s="10">
        <v>1300</v>
      </c>
      <c r="K42" s="72">
        <v>700</v>
      </c>
      <c r="L42" s="29">
        <v>5135</v>
      </c>
    </row>
    <row r="43" spans="1:12" ht="76.5">
      <c r="A43" s="3" t="s">
        <v>41</v>
      </c>
      <c r="B43" s="9" t="s">
        <v>66</v>
      </c>
      <c r="C43" s="1" t="s">
        <v>12</v>
      </c>
      <c r="D43" s="1" t="s">
        <v>79</v>
      </c>
      <c r="E43" s="1" t="s">
        <v>13</v>
      </c>
      <c r="F43" s="10">
        <v>35329</v>
      </c>
      <c r="G43" s="10">
        <v>27000</v>
      </c>
      <c r="H43" s="10">
        <v>8329</v>
      </c>
      <c r="I43" s="11"/>
      <c r="J43" s="11"/>
      <c r="L43" s="33">
        <v>35329</v>
      </c>
    </row>
    <row r="44" spans="1:12" ht="89.25">
      <c r="A44" s="3" t="s">
        <v>42</v>
      </c>
      <c r="B44" s="9" t="s">
        <v>67</v>
      </c>
      <c r="C44" s="1" t="s">
        <v>12</v>
      </c>
      <c r="D44" s="1" t="s">
        <v>80</v>
      </c>
      <c r="E44" s="1" t="s">
        <v>13</v>
      </c>
      <c r="F44" s="10">
        <f>G44+H44</f>
        <v>3435</v>
      </c>
      <c r="G44" s="11">
        <v>1600</v>
      </c>
      <c r="H44" s="10">
        <v>1835</v>
      </c>
      <c r="I44" s="11"/>
      <c r="J44" s="11"/>
      <c r="K44">
        <v>1117</v>
      </c>
      <c r="L44" s="36">
        <v>2318</v>
      </c>
    </row>
    <row r="45" spans="1:12" ht="38.25">
      <c r="A45" s="3" t="s">
        <v>43</v>
      </c>
      <c r="B45" s="9" t="s">
        <v>68</v>
      </c>
      <c r="C45" s="1" t="s">
        <v>12</v>
      </c>
      <c r="D45" s="1" t="s">
        <v>77</v>
      </c>
      <c r="E45" s="1" t="s">
        <v>13</v>
      </c>
      <c r="F45" s="10">
        <v>3000</v>
      </c>
      <c r="G45" s="12"/>
      <c r="H45" s="12"/>
      <c r="I45" s="12"/>
      <c r="J45" s="10">
        <v>3000</v>
      </c>
      <c r="K45">
        <v>3000</v>
      </c>
      <c r="L45" s="33"/>
    </row>
    <row r="46" spans="1:12" ht="12.75">
      <c r="A46" s="3"/>
      <c r="B46" s="116" t="s">
        <v>69</v>
      </c>
      <c r="C46" s="116"/>
      <c r="D46" s="116"/>
      <c r="E46" s="116"/>
      <c r="F46" s="5">
        <f aca="true" t="shared" si="2" ref="F46:L46">SUM(F21:F45)</f>
        <v>140051</v>
      </c>
      <c r="G46" s="5">
        <f t="shared" si="2"/>
        <v>31294</v>
      </c>
      <c r="H46" s="5">
        <f t="shared" si="2"/>
        <v>35557</v>
      </c>
      <c r="I46" s="5">
        <f t="shared" si="2"/>
        <v>31600</v>
      </c>
      <c r="J46" s="5">
        <f t="shared" si="2"/>
        <v>41600</v>
      </c>
      <c r="K46" s="5">
        <f t="shared" si="2"/>
        <v>53450</v>
      </c>
      <c r="L46" s="31">
        <f t="shared" si="2"/>
        <v>86601</v>
      </c>
    </row>
    <row r="47" spans="1:12" ht="12.75">
      <c r="A47" s="1"/>
      <c r="B47" s="106" t="s">
        <v>70</v>
      </c>
      <c r="C47" s="106"/>
      <c r="D47" s="106"/>
      <c r="E47" s="106"/>
      <c r="F47" s="5">
        <f aca="true" t="shared" si="3" ref="F47:L47">F46+F18</f>
        <v>149994</v>
      </c>
      <c r="G47" s="5">
        <f t="shared" si="3"/>
        <v>33050</v>
      </c>
      <c r="H47" s="5">
        <f t="shared" si="3"/>
        <v>36994</v>
      </c>
      <c r="I47" s="5">
        <f t="shared" si="3"/>
        <v>35350</v>
      </c>
      <c r="J47" s="5">
        <f t="shared" si="3"/>
        <v>44600</v>
      </c>
      <c r="K47" s="5">
        <f t="shared" si="3"/>
        <v>53750</v>
      </c>
      <c r="L47" s="5">
        <f t="shared" si="3"/>
        <v>96244</v>
      </c>
    </row>
    <row r="48" spans="11:12" ht="12.75">
      <c r="K48">
        <v>53750</v>
      </c>
      <c r="L48">
        <v>96244</v>
      </c>
    </row>
  </sheetData>
  <sheetProtection/>
  <mergeCells count="18">
    <mergeCell ref="A10:A12"/>
    <mergeCell ref="B10:B12"/>
    <mergeCell ref="C10:C12"/>
    <mergeCell ref="D10:D12"/>
    <mergeCell ref="E10:J10"/>
    <mergeCell ref="E11:E12"/>
    <mergeCell ref="F11:F12"/>
    <mergeCell ref="G11:J11"/>
    <mergeCell ref="B47:E47"/>
    <mergeCell ref="G1:J1"/>
    <mergeCell ref="G2:J2"/>
    <mergeCell ref="G3:J3"/>
    <mergeCell ref="G4:J4"/>
    <mergeCell ref="A8:J8"/>
    <mergeCell ref="A14:J14"/>
    <mergeCell ref="B18:E18"/>
    <mergeCell ref="A20:J20"/>
    <mergeCell ref="B46:E46"/>
  </mergeCells>
  <printOptions/>
  <pageMargins left="0.35" right="0.24" top="0.53" bottom="0.5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0"/>
  <sheetViews>
    <sheetView zoomScalePageLayoutView="0" workbookViewId="0" topLeftCell="A43">
      <selection activeCell="L42" sqref="L42"/>
    </sheetView>
  </sheetViews>
  <sheetFormatPr defaultColWidth="9.140625" defaultRowHeight="12.75" outlineLevelCol="1"/>
  <cols>
    <col min="1" max="1" width="4.57421875" style="0" customWidth="1"/>
    <col min="2" max="2" width="17.8515625" style="0" customWidth="1"/>
    <col min="3" max="3" width="11.140625" style="0" customWidth="1"/>
    <col min="4" max="4" width="8.8515625" style="0" customWidth="1"/>
    <col min="5" max="5" width="10.421875" style="0" customWidth="1"/>
    <col min="6" max="6" width="10.8515625" style="0" customWidth="1"/>
    <col min="7" max="7" width="9.28125" style="0" customWidth="1"/>
    <col min="8" max="9" width="9.421875" style="0" bestFit="1" customWidth="1"/>
    <col min="11" max="12" width="9.140625" style="0" customWidth="1" outlineLevel="1"/>
    <col min="13" max="13" width="10.140625" style="0" bestFit="1" customWidth="1" outlineLevel="1"/>
  </cols>
  <sheetData>
    <row r="2" spans="1:10" ht="12.75">
      <c r="A2" s="6"/>
      <c r="B2" s="6"/>
      <c r="C2" s="6"/>
      <c r="D2" s="6"/>
      <c r="E2" s="6"/>
      <c r="F2" s="6"/>
      <c r="G2" s="21" t="s">
        <v>86</v>
      </c>
      <c r="H2" s="21"/>
      <c r="I2" s="21"/>
      <c r="J2" s="21"/>
    </row>
    <row r="3" spans="1:10" ht="12.75">
      <c r="A3" s="6"/>
      <c r="B3" s="6"/>
      <c r="C3" s="6"/>
      <c r="D3" s="6"/>
      <c r="E3" s="6"/>
      <c r="F3" s="6"/>
      <c r="G3" s="21" t="s">
        <v>87</v>
      </c>
      <c r="H3" s="21"/>
      <c r="I3" s="21"/>
      <c r="J3" s="21"/>
    </row>
    <row r="4" spans="1:10" ht="20.25" customHeight="1">
      <c r="A4" s="6"/>
      <c r="B4" s="6"/>
      <c r="C4" s="6"/>
      <c r="D4" s="6"/>
      <c r="E4" s="6"/>
      <c r="F4" s="6"/>
      <c r="G4" s="22" t="s">
        <v>88</v>
      </c>
      <c r="H4" s="22"/>
      <c r="I4" s="22"/>
      <c r="J4" s="22"/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0.75" customHeight="1">
      <c r="A7" s="108" t="s">
        <v>82</v>
      </c>
      <c r="B7" s="108"/>
      <c r="C7" s="108"/>
      <c r="D7" s="108"/>
      <c r="E7" s="108"/>
      <c r="F7" s="108"/>
      <c r="G7" s="108"/>
      <c r="H7" s="108"/>
      <c r="I7" s="108"/>
      <c r="J7" s="108"/>
    </row>
    <row r="9" spans="1:10" ht="12.75">
      <c r="A9" s="117" t="s">
        <v>0</v>
      </c>
      <c r="B9" s="117" t="s">
        <v>1</v>
      </c>
      <c r="C9" s="117" t="s">
        <v>85</v>
      </c>
      <c r="D9" s="117" t="s">
        <v>3</v>
      </c>
      <c r="E9" s="120" t="s">
        <v>4</v>
      </c>
      <c r="F9" s="121"/>
      <c r="G9" s="121"/>
      <c r="H9" s="121"/>
      <c r="I9" s="121"/>
      <c r="J9" s="122"/>
    </row>
    <row r="10" spans="1:10" ht="29.25" customHeight="1">
      <c r="A10" s="118"/>
      <c r="B10" s="118"/>
      <c r="C10" s="118"/>
      <c r="D10" s="118"/>
      <c r="E10" s="117" t="s">
        <v>5</v>
      </c>
      <c r="F10" s="117" t="s">
        <v>6</v>
      </c>
      <c r="G10" s="120" t="s">
        <v>7</v>
      </c>
      <c r="H10" s="121"/>
      <c r="I10" s="121"/>
      <c r="J10" s="122"/>
    </row>
    <row r="11" spans="1:12" ht="37.5" customHeight="1">
      <c r="A11" s="119"/>
      <c r="B11" s="119"/>
      <c r="C11" s="119"/>
      <c r="D11" s="119"/>
      <c r="E11" s="119"/>
      <c r="F11" s="119"/>
      <c r="G11" s="1">
        <v>2009</v>
      </c>
      <c r="H11" s="1">
        <v>2010</v>
      </c>
      <c r="I11" s="1">
        <v>2011</v>
      </c>
      <c r="J11" s="1">
        <v>2012</v>
      </c>
      <c r="K11" s="24">
        <v>226</v>
      </c>
      <c r="L11" s="25">
        <v>310</v>
      </c>
    </row>
    <row r="12" spans="1:12" ht="12.75">
      <c r="A12" s="2">
        <v>1</v>
      </c>
      <c r="B12" s="2">
        <f aca="true" t="shared" si="0" ref="B12:J12">A12+1</f>
        <v>2</v>
      </c>
      <c r="C12" s="2">
        <f t="shared" si="0"/>
        <v>3</v>
      </c>
      <c r="D12" s="2">
        <f t="shared" si="0"/>
        <v>4</v>
      </c>
      <c r="E12" s="2">
        <f t="shared" si="0"/>
        <v>5</v>
      </c>
      <c r="F12" s="2">
        <f t="shared" si="0"/>
        <v>6</v>
      </c>
      <c r="G12" s="2">
        <f t="shared" si="0"/>
        <v>7</v>
      </c>
      <c r="H12" s="2">
        <f t="shared" si="0"/>
        <v>8</v>
      </c>
      <c r="I12" s="2">
        <f t="shared" si="0"/>
        <v>9</v>
      </c>
      <c r="J12" s="2">
        <f t="shared" si="0"/>
        <v>10</v>
      </c>
      <c r="K12" s="26" t="s">
        <v>90</v>
      </c>
      <c r="L12" s="32" t="s">
        <v>89</v>
      </c>
    </row>
    <row r="13" spans="1:12" ht="12.75">
      <c r="A13" s="109" t="s">
        <v>8</v>
      </c>
      <c r="B13" s="110"/>
      <c r="C13" s="110"/>
      <c r="D13" s="110"/>
      <c r="E13" s="110"/>
      <c r="F13" s="110"/>
      <c r="G13" s="110"/>
      <c r="H13" s="110"/>
      <c r="I13" s="110"/>
      <c r="J13" s="111"/>
      <c r="L13" s="33"/>
    </row>
    <row r="14" spans="1:13" ht="102">
      <c r="A14" s="7" t="s">
        <v>16</v>
      </c>
      <c r="B14" s="9" t="s">
        <v>9</v>
      </c>
      <c r="C14" s="1" t="s">
        <v>12</v>
      </c>
      <c r="D14" s="1" t="s">
        <v>76</v>
      </c>
      <c r="E14" s="1" t="s">
        <v>13</v>
      </c>
      <c r="F14" s="14">
        <f>G14+H14+I14+J14</f>
        <v>367</v>
      </c>
      <c r="G14" s="15">
        <f>1706-1526</f>
        <v>180</v>
      </c>
      <c r="H14" s="14">
        <v>187</v>
      </c>
      <c r="I14" s="14"/>
      <c r="J14" s="14"/>
      <c r="L14" s="38">
        <f>1893-1526</f>
        <v>367</v>
      </c>
      <c r="M14" s="43">
        <f>K14+L14</f>
        <v>367</v>
      </c>
    </row>
    <row r="15" spans="1:13" ht="51">
      <c r="A15" s="7" t="s">
        <v>17</v>
      </c>
      <c r="B15" s="9" t="s">
        <v>10</v>
      </c>
      <c r="C15" s="1" t="s">
        <v>12</v>
      </c>
      <c r="D15" s="1" t="s">
        <v>77</v>
      </c>
      <c r="E15" s="1" t="s">
        <v>13</v>
      </c>
      <c r="F15" s="14">
        <f>G15+H15+I15+J15</f>
        <v>6250</v>
      </c>
      <c r="G15" s="14"/>
      <c r="H15" s="14">
        <v>250</v>
      </c>
      <c r="I15" s="14">
        <v>3000</v>
      </c>
      <c r="J15" s="14">
        <v>3000</v>
      </c>
      <c r="K15" s="27">
        <v>250</v>
      </c>
      <c r="L15" s="34">
        <v>6000</v>
      </c>
      <c r="M15" s="43">
        <f aca="true" t="shared" si="1" ref="M15:M46">K15+L15</f>
        <v>6250</v>
      </c>
    </row>
    <row r="16" spans="1:13" ht="38.25">
      <c r="A16" s="7" t="s">
        <v>18</v>
      </c>
      <c r="B16" s="9" t="s">
        <v>11</v>
      </c>
      <c r="C16" s="1" t="s">
        <v>12</v>
      </c>
      <c r="D16" s="1" t="s">
        <v>78</v>
      </c>
      <c r="E16" s="1" t="s">
        <v>13</v>
      </c>
      <c r="F16" s="14">
        <f>G16+H16+I16+J16</f>
        <v>1800</v>
      </c>
      <c r="G16" s="14">
        <v>50</v>
      </c>
      <c r="H16" s="14">
        <v>1000</v>
      </c>
      <c r="I16" s="14">
        <v>750</v>
      </c>
      <c r="J16" s="14"/>
      <c r="K16" s="27">
        <v>50</v>
      </c>
      <c r="L16" s="34">
        <v>1750</v>
      </c>
      <c r="M16" s="43">
        <f t="shared" si="1"/>
        <v>1800</v>
      </c>
    </row>
    <row r="17" spans="1:13" ht="12.75">
      <c r="A17" s="3"/>
      <c r="B17" s="112" t="s">
        <v>14</v>
      </c>
      <c r="C17" s="113"/>
      <c r="D17" s="113"/>
      <c r="E17" s="114"/>
      <c r="F17" s="16">
        <f aca="true" t="shared" si="2" ref="F17:L17">SUM(F14:F16)</f>
        <v>8417</v>
      </c>
      <c r="G17" s="16">
        <f t="shared" si="2"/>
        <v>230</v>
      </c>
      <c r="H17" s="16">
        <f t="shared" si="2"/>
        <v>1437</v>
      </c>
      <c r="I17" s="16">
        <f t="shared" si="2"/>
        <v>3750</v>
      </c>
      <c r="J17" s="16">
        <f t="shared" si="2"/>
        <v>3000</v>
      </c>
      <c r="K17" s="30">
        <f t="shared" si="2"/>
        <v>300</v>
      </c>
      <c r="L17" s="35">
        <f t="shared" si="2"/>
        <v>8117</v>
      </c>
      <c r="M17" s="43">
        <f t="shared" si="1"/>
        <v>8417</v>
      </c>
    </row>
    <row r="18" spans="1:13" ht="12.75">
      <c r="A18" s="3"/>
      <c r="B18" s="1"/>
      <c r="C18" s="1"/>
      <c r="D18" s="1"/>
      <c r="E18" s="1"/>
      <c r="F18" s="1"/>
      <c r="G18" s="1"/>
      <c r="H18" s="1"/>
      <c r="I18" s="1"/>
      <c r="J18" s="1"/>
      <c r="L18" s="33"/>
      <c r="M18" s="43"/>
    </row>
    <row r="19" spans="1:13" ht="24" customHeight="1">
      <c r="A19" s="115" t="s">
        <v>15</v>
      </c>
      <c r="B19" s="110"/>
      <c r="C19" s="110"/>
      <c r="D19" s="110"/>
      <c r="E19" s="110"/>
      <c r="F19" s="110"/>
      <c r="G19" s="110"/>
      <c r="H19" s="110"/>
      <c r="I19" s="110"/>
      <c r="J19" s="111"/>
      <c r="L19" s="33"/>
      <c r="M19" s="43"/>
    </row>
    <row r="20" spans="1:13" ht="102">
      <c r="A20" s="3" t="s">
        <v>19</v>
      </c>
      <c r="B20" s="9" t="s">
        <v>44</v>
      </c>
      <c r="C20" s="1" t="s">
        <v>12</v>
      </c>
      <c r="D20" s="1" t="s">
        <v>83</v>
      </c>
      <c r="E20" s="1" t="s">
        <v>13</v>
      </c>
      <c r="F20" s="17">
        <f>G20+H20+I20+J20</f>
        <v>540</v>
      </c>
      <c r="G20" s="17"/>
      <c r="H20" s="17">
        <v>540</v>
      </c>
      <c r="I20" s="17"/>
      <c r="J20" s="17"/>
      <c r="L20" s="36">
        <v>540</v>
      </c>
      <c r="M20" s="43">
        <f t="shared" si="1"/>
        <v>540</v>
      </c>
    </row>
    <row r="21" spans="1:13" ht="63.75">
      <c r="A21" s="3" t="s">
        <v>20</v>
      </c>
      <c r="B21" s="9" t="s">
        <v>45</v>
      </c>
      <c r="C21" s="1" t="s">
        <v>12</v>
      </c>
      <c r="D21" s="1" t="s">
        <v>77</v>
      </c>
      <c r="E21" s="1" t="s">
        <v>13</v>
      </c>
      <c r="F21" s="17">
        <f aca="true" t="shared" si="3" ref="F21:F44">G21+H21+I21+J21</f>
        <v>8956</v>
      </c>
      <c r="G21" s="17">
        <v>80</v>
      </c>
      <c r="H21" s="17">
        <v>3000</v>
      </c>
      <c r="I21" s="17">
        <v>3000</v>
      </c>
      <c r="J21" s="17">
        <v>2876</v>
      </c>
      <c r="K21" s="28">
        <v>80</v>
      </c>
      <c r="L21" s="29">
        <v>8876</v>
      </c>
      <c r="M21" s="43">
        <f t="shared" si="1"/>
        <v>8956</v>
      </c>
    </row>
    <row r="22" spans="1:13" ht="51">
      <c r="A22" s="3" t="s">
        <v>21</v>
      </c>
      <c r="B22" s="9" t="s">
        <v>46</v>
      </c>
      <c r="C22" s="1" t="s">
        <v>12</v>
      </c>
      <c r="D22" s="1" t="s">
        <v>84</v>
      </c>
      <c r="E22" s="1" t="s">
        <v>13</v>
      </c>
      <c r="F22" s="17">
        <f t="shared" si="3"/>
        <v>7500</v>
      </c>
      <c r="G22" s="17"/>
      <c r="H22" s="17">
        <v>6000</v>
      </c>
      <c r="I22" s="17">
        <v>1500</v>
      </c>
      <c r="J22" s="17"/>
      <c r="K22" s="28">
        <v>1500</v>
      </c>
      <c r="L22" s="29">
        <v>6000</v>
      </c>
      <c r="M22" s="43">
        <f t="shared" si="1"/>
        <v>7500</v>
      </c>
    </row>
    <row r="23" spans="1:13" ht="51">
      <c r="A23" s="3" t="s">
        <v>22</v>
      </c>
      <c r="B23" s="9" t="s">
        <v>47</v>
      </c>
      <c r="C23" s="1" t="s">
        <v>12</v>
      </c>
      <c r="D23" s="1" t="s">
        <v>77</v>
      </c>
      <c r="E23" s="1" t="s">
        <v>13</v>
      </c>
      <c r="F23" s="17">
        <f t="shared" si="3"/>
        <v>2529</v>
      </c>
      <c r="G23" s="17">
        <v>29</v>
      </c>
      <c r="H23" s="17"/>
      <c r="I23" s="17">
        <v>1300</v>
      </c>
      <c r="J23" s="17">
        <v>1200</v>
      </c>
      <c r="K23" s="28">
        <v>2529</v>
      </c>
      <c r="L23" s="33"/>
      <c r="M23" s="43">
        <f t="shared" si="1"/>
        <v>2529</v>
      </c>
    </row>
    <row r="24" spans="1:13" ht="38.25">
      <c r="A24" s="3" t="s">
        <v>23</v>
      </c>
      <c r="B24" s="9" t="s">
        <v>48</v>
      </c>
      <c r="C24" s="1" t="s">
        <v>12</v>
      </c>
      <c r="D24" s="1" t="s">
        <v>77</v>
      </c>
      <c r="E24" s="1" t="s">
        <v>13</v>
      </c>
      <c r="F24" s="17">
        <f t="shared" si="3"/>
        <v>9600</v>
      </c>
      <c r="G24" s="17"/>
      <c r="H24" s="17">
        <v>3200</v>
      </c>
      <c r="I24" s="17">
        <v>3200</v>
      </c>
      <c r="J24" s="17">
        <v>3200</v>
      </c>
      <c r="K24" s="28">
        <v>3200</v>
      </c>
      <c r="L24" s="29">
        <v>6400</v>
      </c>
      <c r="M24" s="43">
        <f t="shared" si="1"/>
        <v>9600</v>
      </c>
    </row>
    <row r="25" spans="1:13" ht="102">
      <c r="A25" s="3" t="s">
        <v>24</v>
      </c>
      <c r="B25" s="9" t="s">
        <v>49</v>
      </c>
      <c r="C25" s="1" t="s">
        <v>12</v>
      </c>
      <c r="D25" s="1" t="s">
        <v>81</v>
      </c>
      <c r="E25" s="1" t="s">
        <v>13</v>
      </c>
      <c r="F25" s="17">
        <f t="shared" si="3"/>
        <v>6600</v>
      </c>
      <c r="G25" s="18">
        <f>1600-1000</f>
        <v>600</v>
      </c>
      <c r="H25" s="17">
        <v>4000</v>
      </c>
      <c r="I25" s="17">
        <v>2000</v>
      </c>
      <c r="J25" s="17"/>
      <c r="K25" s="37">
        <f>600</f>
        <v>600</v>
      </c>
      <c r="L25" s="40">
        <f>7000-1000</f>
        <v>6000</v>
      </c>
      <c r="M25" s="43">
        <f t="shared" si="1"/>
        <v>6600</v>
      </c>
    </row>
    <row r="26" spans="1:13" ht="51">
      <c r="A26" s="3" t="s">
        <v>25</v>
      </c>
      <c r="B26" s="9" t="s">
        <v>50</v>
      </c>
      <c r="C26" s="1" t="s">
        <v>12</v>
      </c>
      <c r="D26" s="1" t="s">
        <v>77</v>
      </c>
      <c r="E26" s="1" t="s">
        <v>13</v>
      </c>
      <c r="F26" s="17">
        <f t="shared" si="3"/>
        <v>6004</v>
      </c>
      <c r="G26" s="18">
        <v>480</v>
      </c>
      <c r="H26" s="17">
        <v>1500</v>
      </c>
      <c r="I26" s="17">
        <v>1500</v>
      </c>
      <c r="J26" s="17">
        <v>2524</v>
      </c>
      <c r="K26" s="37">
        <f>5524</f>
        <v>5524</v>
      </c>
      <c r="L26" s="40">
        <v>480</v>
      </c>
      <c r="M26" s="43">
        <f t="shared" si="1"/>
        <v>6004</v>
      </c>
    </row>
    <row r="27" spans="1:13" ht="63.75">
      <c r="A27" s="3" t="s">
        <v>26</v>
      </c>
      <c r="B27" s="9" t="s">
        <v>51</v>
      </c>
      <c r="C27" s="1" t="s">
        <v>12</v>
      </c>
      <c r="D27" s="1" t="s">
        <v>76</v>
      </c>
      <c r="E27" s="1" t="s">
        <v>13</v>
      </c>
      <c r="F27" s="17">
        <f t="shared" si="3"/>
        <v>1303</v>
      </c>
      <c r="G27" s="17"/>
      <c r="H27" s="17">
        <v>1303</v>
      </c>
      <c r="I27" s="17"/>
      <c r="J27" s="17"/>
      <c r="L27" s="29">
        <v>1303</v>
      </c>
      <c r="M27" s="43">
        <f t="shared" si="1"/>
        <v>1303</v>
      </c>
    </row>
    <row r="28" spans="1:13" ht="76.5">
      <c r="A28" s="3" t="s">
        <v>27</v>
      </c>
      <c r="B28" s="9" t="s">
        <v>52</v>
      </c>
      <c r="C28" s="1" t="s">
        <v>12</v>
      </c>
      <c r="D28" s="1" t="s">
        <v>77</v>
      </c>
      <c r="E28" s="1" t="s">
        <v>13</v>
      </c>
      <c r="F28" s="17">
        <f t="shared" si="3"/>
        <v>4500</v>
      </c>
      <c r="G28" s="17"/>
      <c r="H28" s="17"/>
      <c r="I28" s="17">
        <v>2000</v>
      </c>
      <c r="J28" s="17">
        <v>2500</v>
      </c>
      <c r="K28" s="28">
        <v>4500</v>
      </c>
      <c r="L28" s="33"/>
      <c r="M28" s="43">
        <f t="shared" si="1"/>
        <v>4500</v>
      </c>
    </row>
    <row r="29" spans="1:13" ht="76.5">
      <c r="A29" s="3" t="s">
        <v>28</v>
      </c>
      <c r="B29" s="9" t="s">
        <v>53</v>
      </c>
      <c r="C29" s="1" t="s">
        <v>12</v>
      </c>
      <c r="D29" s="1" t="s">
        <v>77</v>
      </c>
      <c r="E29" s="1" t="s">
        <v>13</v>
      </c>
      <c r="F29" s="17">
        <f t="shared" si="3"/>
        <v>3500</v>
      </c>
      <c r="G29" s="17"/>
      <c r="H29" s="17"/>
      <c r="I29" s="17">
        <v>2800</v>
      </c>
      <c r="J29" s="17">
        <v>700</v>
      </c>
      <c r="K29" s="28">
        <v>3500</v>
      </c>
      <c r="L29" s="33"/>
      <c r="M29" s="43">
        <f t="shared" si="1"/>
        <v>3500</v>
      </c>
    </row>
    <row r="30" spans="1:13" ht="63.75">
      <c r="A30" s="3" t="s">
        <v>29</v>
      </c>
      <c r="B30" s="9" t="s">
        <v>54</v>
      </c>
      <c r="C30" s="1" t="s">
        <v>12</v>
      </c>
      <c r="D30" s="1" t="s">
        <v>77</v>
      </c>
      <c r="E30" s="1" t="s">
        <v>13</v>
      </c>
      <c r="F30" s="17">
        <f t="shared" si="3"/>
        <v>3500</v>
      </c>
      <c r="G30" s="17"/>
      <c r="H30" s="17"/>
      <c r="I30" s="17">
        <v>2800</v>
      </c>
      <c r="J30" s="17">
        <v>700</v>
      </c>
      <c r="K30" s="28">
        <v>3500</v>
      </c>
      <c r="L30" s="33"/>
      <c r="M30" s="43">
        <f t="shared" si="1"/>
        <v>3500</v>
      </c>
    </row>
    <row r="31" spans="1:13" ht="63.75">
      <c r="A31" s="3" t="s">
        <v>30</v>
      </c>
      <c r="B31" s="9" t="s">
        <v>55</v>
      </c>
      <c r="C31" s="1" t="s">
        <v>12</v>
      </c>
      <c r="D31" s="1" t="s">
        <v>77</v>
      </c>
      <c r="E31" s="1" t="s">
        <v>13</v>
      </c>
      <c r="F31" s="17">
        <f t="shared" si="3"/>
        <v>2000</v>
      </c>
      <c r="G31" s="17"/>
      <c r="H31" s="17"/>
      <c r="I31" s="17">
        <v>1500</v>
      </c>
      <c r="J31" s="17">
        <v>500</v>
      </c>
      <c r="K31" s="28">
        <v>2000</v>
      </c>
      <c r="L31" s="33"/>
      <c r="M31" s="43">
        <f t="shared" si="1"/>
        <v>2000</v>
      </c>
    </row>
    <row r="32" spans="1:13" ht="63.75">
      <c r="A32" s="3" t="s">
        <v>31</v>
      </c>
      <c r="B32" s="9" t="s">
        <v>56</v>
      </c>
      <c r="C32" s="1" t="s">
        <v>12</v>
      </c>
      <c r="D32" s="1" t="s">
        <v>77</v>
      </c>
      <c r="E32" s="1" t="s">
        <v>13</v>
      </c>
      <c r="F32" s="17">
        <f t="shared" si="3"/>
        <v>2000</v>
      </c>
      <c r="G32" s="17"/>
      <c r="H32" s="17"/>
      <c r="I32" s="17">
        <v>1500</v>
      </c>
      <c r="J32" s="17">
        <v>500</v>
      </c>
      <c r="K32" s="28">
        <v>2000</v>
      </c>
      <c r="L32" s="33"/>
      <c r="M32" s="43">
        <f t="shared" si="1"/>
        <v>2000</v>
      </c>
    </row>
    <row r="33" spans="1:13" ht="63.75">
      <c r="A33" s="3" t="s">
        <v>32</v>
      </c>
      <c r="B33" s="9" t="s">
        <v>57</v>
      </c>
      <c r="C33" s="1" t="s">
        <v>12</v>
      </c>
      <c r="D33" s="1" t="s">
        <v>77</v>
      </c>
      <c r="E33" s="1" t="s">
        <v>13</v>
      </c>
      <c r="F33" s="17">
        <f t="shared" si="3"/>
        <v>2000</v>
      </c>
      <c r="G33" s="17"/>
      <c r="H33" s="17"/>
      <c r="I33" s="17">
        <v>1500</v>
      </c>
      <c r="J33" s="17">
        <v>500</v>
      </c>
      <c r="K33" s="28">
        <v>2000</v>
      </c>
      <c r="L33" s="33"/>
      <c r="M33" s="43">
        <f t="shared" si="1"/>
        <v>2000</v>
      </c>
    </row>
    <row r="34" spans="1:13" ht="63.75">
      <c r="A34" s="3" t="s">
        <v>33</v>
      </c>
      <c r="B34" s="9" t="s">
        <v>58</v>
      </c>
      <c r="C34" s="1" t="s">
        <v>12</v>
      </c>
      <c r="D34" s="1" t="s">
        <v>77</v>
      </c>
      <c r="E34" s="1" t="s">
        <v>13</v>
      </c>
      <c r="F34" s="17">
        <f t="shared" si="3"/>
        <v>1800</v>
      </c>
      <c r="G34" s="17"/>
      <c r="H34" s="17"/>
      <c r="I34" s="17"/>
      <c r="J34" s="17">
        <v>1800</v>
      </c>
      <c r="K34" s="28">
        <v>1800</v>
      </c>
      <c r="L34" s="33"/>
      <c r="M34" s="43">
        <f t="shared" si="1"/>
        <v>1800</v>
      </c>
    </row>
    <row r="35" spans="1:13" ht="51">
      <c r="A35" s="3" t="s">
        <v>34</v>
      </c>
      <c r="B35" s="9" t="s">
        <v>59</v>
      </c>
      <c r="C35" s="1" t="s">
        <v>12</v>
      </c>
      <c r="D35" s="1" t="s">
        <v>77</v>
      </c>
      <c r="E35" s="1" t="s">
        <v>13</v>
      </c>
      <c r="F35" s="17">
        <f t="shared" si="3"/>
        <v>4200</v>
      </c>
      <c r="G35" s="17"/>
      <c r="H35" s="17">
        <v>1400</v>
      </c>
      <c r="I35" s="17">
        <v>1400</v>
      </c>
      <c r="J35" s="17">
        <v>1400</v>
      </c>
      <c r="K35" s="28">
        <v>3350</v>
      </c>
      <c r="L35" s="29">
        <v>850</v>
      </c>
      <c r="M35" s="43">
        <f t="shared" si="1"/>
        <v>4200</v>
      </c>
    </row>
    <row r="36" spans="1:13" ht="51">
      <c r="A36" s="3" t="s">
        <v>35</v>
      </c>
      <c r="B36" s="9" t="s">
        <v>60</v>
      </c>
      <c r="C36" s="1" t="s">
        <v>12</v>
      </c>
      <c r="D36" s="1" t="s">
        <v>77</v>
      </c>
      <c r="E36" s="1" t="s">
        <v>13</v>
      </c>
      <c r="F36" s="17">
        <f t="shared" si="3"/>
        <v>10000</v>
      </c>
      <c r="G36" s="17"/>
      <c r="H36" s="17">
        <v>3200</v>
      </c>
      <c r="I36" s="17">
        <v>3300</v>
      </c>
      <c r="J36" s="17">
        <v>3500</v>
      </c>
      <c r="K36" s="28">
        <v>1450</v>
      </c>
      <c r="L36" s="29">
        <v>8550</v>
      </c>
      <c r="M36" s="43">
        <f t="shared" si="1"/>
        <v>10000</v>
      </c>
    </row>
    <row r="37" spans="1:13" ht="102">
      <c r="A37" s="3" t="s">
        <v>36</v>
      </c>
      <c r="B37" s="9" t="s">
        <v>61</v>
      </c>
      <c r="C37" s="1" t="s">
        <v>12</v>
      </c>
      <c r="D37" s="1" t="s">
        <v>77</v>
      </c>
      <c r="E37" s="1" t="s">
        <v>13</v>
      </c>
      <c r="F37" s="17">
        <f t="shared" si="3"/>
        <v>4300</v>
      </c>
      <c r="G37" s="17"/>
      <c r="H37" s="17"/>
      <c r="I37" s="17"/>
      <c r="J37" s="17">
        <v>4300</v>
      </c>
      <c r="L37" s="36">
        <v>4300</v>
      </c>
      <c r="M37" s="43">
        <f t="shared" si="1"/>
        <v>4300</v>
      </c>
    </row>
    <row r="38" spans="1:13" ht="38.25">
      <c r="A38" s="3" t="s">
        <v>37</v>
      </c>
      <c r="B38" s="9" t="s">
        <v>62</v>
      </c>
      <c r="C38" s="1" t="s">
        <v>12</v>
      </c>
      <c r="D38" s="1" t="s">
        <v>77</v>
      </c>
      <c r="E38" s="1" t="s">
        <v>13</v>
      </c>
      <c r="F38" s="17">
        <f t="shared" si="3"/>
        <v>3500</v>
      </c>
      <c r="G38" s="17"/>
      <c r="H38" s="17"/>
      <c r="I38" s="17"/>
      <c r="J38" s="17">
        <v>3500</v>
      </c>
      <c r="K38">
        <v>3500</v>
      </c>
      <c r="L38" s="33"/>
      <c r="M38" s="43">
        <f t="shared" si="1"/>
        <v>3500</v>
      </c>
    </row>
    <row r="39" spans="1:13" ht="76.5">
      <c r="A39" s="3" t="s">
        <v>38</v>
      </c>
      <c r="B39" s="9" t="s">
        <v>63</v>
      </c>
      <c r="C39" s="1" t="s">
        <v>12</v>
      </c>
      <c r="D39" s="1" t="s">
        <v>77</v>
      </c>
      <c r="E39" s="1" t="s">
        <v>13</v>
      </c>
      <c r="F39" s="17">
        <f t="shared" si="3"/>
        <v>3800</v>
      </c>
      <c r="G39" s="17"/>
      <c r="H39" s="17"/>
      <c r="I39" s="17"/>
      <c r="J39" s="17">
        <v>3800</v>
      </c>
      <c r="K39">
        <v>3800</v>
      </c>
      <c r="L39" s="33"/>
      <c r="M39" s="43">
        <f t="shared" si="1"/>
        <v>3800</v>
      </c>
    </row>
    <row r="40" spans="1:13" ht="38.25">
      <c r="A40" s="3" t="s">
        <v>39</v>
      </c>
      <c r="B40" s="9" t="s">
        <v>64</v>
      </c>
      <c r="C40" s="1" t="s">
        <v>12</v>
      </c>
      <c r="D40" s="1" t="s">
        <v>77</v>
      </c>
      <c r="E40" s="1" t="s">
        <v>13</v>
      </c>
      <c r="F40" s="17">
        <f t="shared" si="3"/>
        <v>3800</v>
      </c>
      <c r="G40" s="17"/>
      <c r="H40" s="17"/>
      <c r="I40" s="17"/>
      <c r="J40" s="17">
        <v>3800</v>
      </c>
      <c r="K40">
        <v>3800</v>
      </c>
      <c r="L40" s="33"/>
      <c r="M40" s="43">
        <f t="shared" si="1"/>
        <v>3800</v>
      </c>
    </row>
    <row r="41" spans="1:13" ht="76.5">
      <c r="A41" s="3" t="s">
        <v>40</v>
      </c>
      <c r="B41" s="9" t="s">
        <v>92</v>
      </c>
      <c r="C41" s="1" t="s">
        <v>12</v>
      </c>
      <c r="D41" s="1" t="s">
        <v>77</v>
      </c>
      <c r="E41" s="1" t="s">
        <v>13</v>
      </c>
      <c r="F41" s="17">
        <f t="shared" si="3"/>
        <v>5147</v>
      </c>
      <c r="G41" s="18">
        <f>985-285-403</f>
        <v>297</v>
      </c>
      <c r="H41" s="17">
        <v>1250</v>
      </c>
      <c r="I41" s="17">
        <v>2300</v>
      </c>
      <c r="J41" s="17">
        <v>1300</v>
      </c>
      <c r="K41" s="41">
        <f>700-403</f>
        <v>297</v>
      </c>
      <c r="L41" s="40">
        <f>5135-285</f>
        <v>4850</v>
      </c>
      <c r="M41" s="43">
        <f t="shared" si="1"/>
        <v>5147</v>
      </c>
    </row>
    <row r="42" spans="1:13" ht="76.5">
      <c r="A42" s="3" t="s">
        <v>41</v>
      </c>
      <c r="B42" s="9" t="s">
        <v>66</v>
      </c>
      <c r="C42" s="1" t="s">
        <v>12</v>
      </c>
      <c r="D42" s="1" t="s">
        <v>79</v>
      </c>
      <c r="E42" s="1" t="s">
        <v>13</v>
      </c>
      <c r="F42" s="17">
        <f t="shared" si="3"/>
        <v>35329</v>
      </c>
      <c r="G42" s="17">
        <v>27000</v>
      </c>
      <c r="H42" s="17">
        <v>8329</v>
      </c>
      <c r="I42" s="17"/>
      <c r="J42" s="17"/>
      <c r="L42" s="33">
        <v>35329</v>
      </c>
      <c r="M42" s="43">
        <f t="shared" si="1"/>
        <v>35329</v>
      </c>
    </row>
    <row r="43" spans="1:13" ht="102">
      <c r="A43" s="3" t="s">
        <v>42</v>
      </c>
      <c r="B43" s="9" t="s">
        <v>67</v>
      </c>
      <c r="C43" s="1" t="s">
        <v>12</v>
      </c>
      <c r="D43" s="1" t="s">
        <v>80</v>
      </c>
      <c r="E43" s="1" t="s">
        <v>13</v>
      </c>
      <c r="F43" s="17">
        <f t="shared" si="3"/>
        <v>6141</v>
      </c>
      <c r="G43" s="18">
        <f>1600-300+1406+1600</f>
        <v>4306</v>
      </c>
      <c r="H43" s="17">
        <v>1835</v>
      </c>
      <c r="I43" s="17"/>
      <c r="J43" s="17"/>
      <c r="K43" s="39">
        <f>1117-300+1600</f>
        <v>2417</v>
      </c>
      <c r="L43" s="42">
        <f>2318+1406</f>
        <v>3724</v>
      </c>
      <c r="M43" s="43">
        <f t="shared" si="1"/>
        <v>6141</v>
      </c>
    </row>
    <row r="44" spans="1:13" ht="38.25">
      <c r="A44" s="3" t="s">
        <v>43</v>
      </c>
      <c r="B44" s="9" t="s">
        <v>68</v>
      </c>
      <c r="C44" s="1" t="s">
        <v>12</v>
      </c>
      <c r="D44" s="1" t="s">
        <v>77</v>
      </c>
      <c r="E44" s="1" t="s">
        <v>13</v>
      </c>
      <c r="F44" s="17">
        <f t="shared" si="3"/>
        <v>3000</v>
      </c>
      <c r="G44" s="19"/>
      <c r="H44" s="19"/>
      <c r="I44" s="19"/>
      <c r="J44" s="17">
        <v>3000</v>
      </c>
      <c r="K44">
        <v>3000</v>
      </c>
      <c r="L44" s="33"/>
      <c r="M44" s="43">
        <f t="shared" si="1"/>
        <v>3000</v>
      </c>
    </row>
    <row r="45" spans="1:13" ht="12.75">
      <c r="A45" s="3"/>
      <c r="B45" s="116" t="s">
        <v>69</v>
      </c>
      <c r="C45" s="116"/>
      <c r="D45" s="116"/>
      <c r="E45" s="116"/>
      <c r="F45" s="20">
        <f aca="true" t="shared" si="4" ref="F45:L45">SUM(F20:F44)</f>
        <v>141549</v>
      </c>
      <c r="G45" s="20">
        <f t="shared" si="4"/>
        <v>32792</v>
      </c>
      <c r="H45" s="20">
        <f t="shared" si="4"/>
        <v>35557</v>
      </c>
      <c r="I45" s="20">
        <f t="shared" si="4"/>
        <v>31600</v>
      </c>
      <c r="J45" s="20">
        <f t="shared" si="4"/>
        <v>41600</v>
      </c>
      <c r="K45" s="5">
        <f t="shared" si="4"/>
        <v>54347</v>
      </c>
      <c r="L45" s="5">
        <f t="shared" si="4"/>
        <v>87202</v>
      </c>
      <c r="M45" s="43">
        <f t="shared" si="1"/>
        <v>141549</v>
      </c>
    </row>
    <row r="46" spans="1:13" ht="12.75">
      <c r="A46" s="1"/>
      <c r="B46" s="106" t="s">
        <v>70</v>
      </c>
      <c r="C46" s="106"/>
      <c r="D46" s="106"/>
      <c r="E46" s="106"/>
      <c r="F46" s="20">
        <f aca="true" t="shared" si="5" ref="F46:L46">F45+F17</f>
        <v>149966</v>
      </c>
      <c r="G46" s="20">
        <f t="shared" si="5"/>
        <v>33022</v>
      </c>
      <c r="H46" s="20">
        <f t="shared" si="5"/>
        <v>36994</v>
      </c>
      <c r="I46" s="20">
        <f t="shared" si="5"/>
        <v>35350</v>
      </c>
      <c r="J46" s="20">
        <f t="shared" si="5"/>
        <v>44600</v>
      </c>
      <c r="K46" s="5">
        <f t="shared" si="5"/>
        <v>54647</v>
      </c>
      <c r="L46" s="5">
        <f t="shared" si="5"/>
        <v>95319</v>
      </c>
      <c r="M46" s="43">
        <f t="shared" si="1"/>
        <v>149966</v>
      </c>
    </row>
    <row r="47" ht="11.25" customHeight="1"/>
    <row r="48" spans="6:12" ht="12.75">
      <c r="F48" s="23"/>
      <c r="K48">
        <v>-54647</v>
      </c>
      <c r="L48">
        <v>-95319</v>
      </c>
    </row>
    <row r="49" ht="12.75">
      <c r="F49" s="23"/>
    </row>
    <row r="50" ht="12.75">
      <c r="F50" s="13"/>
    </row>
  </sheetData>
  <sheetProtection/>
  <mergeCells count="14">
    <mergeCell ref="E9:J9"/>
    <mergeCell ref="E10:E11"/>
    <mergeCell ref="F10:F11"/>
    <mergeCell ref="G10:J10"/>
    <mergeCell ref="A9:A11"/>
    <mergeCell ref="B9:B11"/>
    <mergeCell ref="C9:C11"/>
    <mergeCell ref="D9:D11"/>
    <mergeCell ref="B46:E46"/>
    <mergeCell ref="A7:J7"/>
    <mergeCell ref="A13:J13"/>
    <mergeCell ref="B17:E17"/>
    <mergeCell ref="A19:J19"/>
    <mergeCell ref="B45:E45"/>
  </mergeCells>
  <printOptions/>
  <pageMargins left="0" right="0" top="0.5118110236220472" bottom="0.51181102362204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0"/>
  <sheetViews>
    <sheetView zoomScalePageLayoutView="0" workbookViewId="0" topLeftCell="A1">
      <selection activeCell="I16" sqref="I16"/>
    </sheetView>
  </sheetViews>
  <sheetFormatPr defaultColWidth="9.140625" defaultRowHeight="12.75" outlineLevelCol="1"/>
  <cols>
    <col min="1" max="1" width="4.57421875" style="45" customWidth="1"/>
    <col min="2" max="2" width="17.8515625" style="45" customWidth="1"/>
    <col min="3" max="3" width="11.140625" style="45" customWidth="1"/>
    <col min="4" max="4" width="8.8515625" style="45" customWidth="1"/>
    <col min="5" max="5" width="10.421875" style="45" customWidth="1"/>
    <col min="6" max="6" width="10.8515625" style="45" customWidth="1"/>
    <col min="7" max="7" width="9.28125" style="48" customWidth="1"/>
    <col min="8" max="9" width="9.421875" style="45" bestFit="1" customWidth="1"/>
    <col min="10" max="10" width="9.140625" style="45" customWidth="1"/>
    <col min="11" max="12" width="0" style="0" hidden="1" customWidth="1" outlineLevel="1"/>
    <col min="13" max="13" width="10.140625" style="0" hidden="1" customWidth="1" outlineLevel="1"/>
    <col min="14" max="14" width="9.140625" style="44" customWidth="1" collapsed="1"/>
    <col min="15" max="15" width="9.140625" style="45" customWidth="1"/>
  </cols>
  <sheetData>
    <row r="2" spans="1:10" ht="12.75">
      <c r="A2" s="44"/>
      <c r="B2" s="44"/>
      <c r="C2" s="44"/>
      <c r="D2" s="44"/>
      <c r="E2" s="44"/>
      <c r="F2" s="44"/>
      <c r="G2" s="22" t="s">
        <v>86</v>
      </c>
      <c r="H2" s="22"/>
      <c r="I2" s="22"/>
      <c r="J2" s="22"/>
    </row>
    <row r="3" spans="1:10" ht="12.75">
      <c r="A3" s="44"/>
      <c r="B3" s="44"/>
      <c r="C3" s="44"/>
      <c r="D3" s="44"/>
      <c r="E3" s="44"/>
      <c r="F3" s="44"/>
      <c r="G3" s="22" t="s">
        <v>87</v>
      </c>
      <c r="H3" s="22"/>
      <c r="I3" s="22"/>
      <c r="J3" s="22"/>
    </row>
    <row r="4" spans="1:10" ht="20.25" customHeight="1">
      <c r="A4" s="44"/>
      <c r="B4" s="44"/>
      <c r="C4" s="44"/>
      <c r="D4" s="44"/>
      <c r="E4" s="44"/>
      <c r="F4" s="44"/>
      <c r="G4" s="22" t="s">
        <v>88</v>
      </c>
      <c r="H4" s="22"/>
      <c r="I4" s="22"/>
      <c r="J4" s="22"/>
    </row>
    <row r="5" spans="1:10" ht="12.75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0" ht="12.75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0" ht="30.75" customHeight="1">
      <c r="A7" s="123" t="s">
        <v>82</v>
      </c>
      <c r="B7" s="123"/>
      <c r="C7" s="123"/>
      <c r="D7" s="123"/>
      <c r="E7" s="123"/>
      <c r="F7" s="123"/>
      <c r="G7" s="123"/>
      <c r="H7" s="123"/>
      <c r="I7" s="123"/>
      <c r="J7" s="123"/>
    </row>
    <row r="9" spans="1:10" ht="12.75">
      <c r="A9" s="117" t="s">
        <v>0</v>
      </c>
      <c r="B9" s="117" t="s">
        <v>1</v>
      </c>
      <c r="C9" s="117" t="s">
        <v>85</v>
      </c>
      <c r="D9" s="117" t="s">
        <v>3</v>
      </c>
      <c r="E9" s="120" t="s">
        <v>4</v>
      </c>
      <c r="F9" s="121"/>
      <c r="G9" s="121"/>
      <c r="H9" s="121"/>
      <c r="I9" s="121"/>
      <c r="J9" s="122"/>
    </row>
    <row r="10" spans="1:13" ht="29.25" customHeight="1">
      <c r="A10" s="118"/>
      <c r="B10" s="118"/>
      <c r="C10" s="118"/>
      <c r="D10" s="118"/>
      <c r="E10" s="117" t="s">
        <v>5</v>
      </c>
      <c r="F10" s="117" t="s">
        <v>6</v>
      </c>
      <c r="G10" s="120" t="s">
        <v>7</v>
      </c>
      <c r="H10" s="121"/>
      <c r="I10" s="121"/>
      <c r="J10" s="122"/>
      <c r="K10" s="44"/>
      <c r="L10" s="44"/>
      <c r="M10" s="44"/>
    </row>
    <row r="11" spans="1:13" ht="37.5" customHeight="1">
      <c r="A11" s="119"/>
      <c r="B11" s="119"/>
      <c r="C11" s="119"/>
      <c r="D11" s="119"/>
      <c r="E11" s="119"/>
      <c r="F11" s="119"/>
      <c r="G11" s="1">
        <v>2009</v>
      </c>
      <c r="H11" s="1">
        <v>2010</v>
      </c>
      <c r="I11" s="1">
        <v>2011</v>
      </c>
      <c r="J11" s="1">
        <v>2012</v>
      </c>
      <c r="K11" s="24">
        <v>226</v>
      </c>
      <c r="L11" s="25">
        <v>310</v>
      </c>
      <c r="M11" s="44"/>
    </row>
    <row r="12" spans="1:13" ht="12.75">
      <c r="A12" s="46">
        <v>1</v>
      </c>
      <c r="B12" s="46">
        <f aca="true" t="shared" si="0" ref="B12:J12">A12+1</f>
        <v>2</v>
      </c>
      <c r="C12" s="46">
        <f t="shared" si="0"/>
        <v>3</v>
      </c>
      <c r="D12" s="46">
        <f t="shared" si="0"/>
        <v>4</v>
      </c>
      <c r="E12" s="46">
        <f t="shared" si="0"/>
        <v>5</v>
      </c>
      <c r="F12" s="46">
        <f t="shared" si="0"/>
        <v>6</v>
      </c>
      <c r="G12" s="47">
        <f t="shared" si="0"/>
        <v>7</v>
      </c>
      <c r="H12" s="46">
        <f t="shared" si="0"/>
        <v>8</v>
      </c>
      <c r="I12" s="46">
        <f t="shared" si="0"/>
        <v>9</v>
      </c>
      <c r="J12" s="46">
        <f t="shared" si="0"/>
        <v>10</v>
      </c>
      <c r="K12" s="65" t="s">
        <v>90</v>
      </c>
      <c r="L12" s="66" t="s">
        <v>89</v>
      </c>
      <c r="M12" s="44"/>
    </row>
    <row r="13" spans="1:13" ht="12.75">
      <c r="A13" s="109" t="s">
        <v>8</v>
      </c>
      <c r="B13" s="110"/>
      <c r="C13" s="110"/>
      <c r="D13" s="110"/>
      <c r="E13" s="110"/>
      <c r="F13" s="110"/>
      <c r="G13" s="110"/>
      <c r="H13" s="110"/>
      <c r="I13" s="110"/>
      <c r="J13" s="111"/>
      <c r="K13" s="44"/>
      <c r="L13" s="67"/>
      <c r="M13" s="44"/>
    </row>
    <row r="14" spans="1:13" ht="93.75" customHeight="1">
      <c r="A14" s="7" t="s">
        <v>16</v>
      </c>
      <c r="B14" s="49" t="s">
        <v>9</v>
      </c>
      <c r="C14" s="1" t="s">
        <v>12</v>
      </c>
      <c r="D14" s="1" t="s">
        <v>76</v>
      </c>
      <c r="E14" s="1" t="s">
        <v>13</v>
      </c>
      <c r="F14" s="14">
        <f>G14+H14+I14+J14</f>
        <v>367</v>
      </c>
      <c r="G14" s="14">
        <f>1706-1526</f>
        <v>180</v>
      </c>
      <c r="H14" s="14">
        <v>187</v>
      </c>
      <c r="I14" s="14"/>
      <c r="J14" s="14"/>
      <c r="K14" s="44"/>
      <c r="L14" s="34">
        <v>367</v>
      </c>
      <c r="M14" s="68">
        <f>K14+L14</f>
        <v>367</v>
      </c>
    </row>
    <row r="15" spans="1:13" ht="51">
      <c r="A15" s="7" t="s">
        <v>17</v>
      </c>
      <c r="B15" s="49" t="s">
        <v>10</v>
      </c>
      <c r="C15" s="1" t="s">
        <v>12</v>
      </c>
      <c r="D15" s="1" t="s">
        <v>77</v>
      </c>
      <c r="E15" s="1" t="s">
        <v>13</v>
      </c>
      <c r="F15" s="14">
        <f>G15+H15+I15+J15</f>
        <v>6000</v>
      </c>
      <c r="G15" s="14"/>
      <c r="H15" s="15">
        <f>250-250</f>
        <v>0</v>
      </c>
      <c r="I15" s="14">
        <v>3000</v>
      </c>
      <c r="J15" s="14">
        <v>3000</v>
      </c>
      <c r="K15" s="64">
        <f>250-250</f>
        <v>0</v>
      </c>
      <c r="L15" s="34">
        <v>6000</v>
      </c>
      <c r="M15" s="68">
        <f aca="true" t="shared" si="1" ref="M15:M46">K15+L15</f>
        <v>6000</v>
      </c>
    </row>
    <row r="16" spans="1:13" ht="38.25">
      <c r="A16" s="7" t="s">
        <v>18</v>
      </c>
      <c r="B16" s="49" t="s">
        <v>11</v>
      </c>
      <c r="C16" s="1" t="s">
        <v>12</v>
      </c>
      <c r="D16" s="1" t="s">
        <v>78</v>
      </c>
      <c r="E16" s="1" t="s">
        <v>13</v>
      </c>
      <c r="F16" s="14">
        <f>G16+H16+I16+J16</f>
        <v>800</v>
      </c>
      <c r="G16" s="14">
        <v>50</v>
      </c>
      <c r="H16" s="15">
        <f>1000-1000</f>
        <v>0</v>
      </c>
      <c r="I16" s="14">
        <v>750</v>
      </c>
      <c r="J16" s="14"/>
      <c r="K16" s="27">
        <v>50</v>
      </c>
      <c r="L16" s="38">
        <f>1750-1000</f>
        <v>750</v>
      </c>
      <c r="M16" s="68">
        <f t="shared" si="1"/>
        <v>800</v>
      </c>
    </row>
    <row r="17" spans="1:13" ht="12.75">
      <c r="A17" s="3"/>
      <c r="B17" s="112" t="s">
        <v>14</v>
      </c>
      <c r="C17" s="113"/>
      <c r="D17" s="113"/>
      <c r="E17" s="114"/>
      <c r="F17" s="16">
        <f aca="true" t="shared" si="2" ref="F17:L17">SUM(F14:F16)</f>
        <v>7167</v>
      </c>
      <c r="G17" s="16">
        <f t="shared" si="2"/>
        <v>230</v>
      </c>
      <c r="H17" s="16">
        <f t="shared" si="2"/>
        <v>187</v>
      </c>
      <c r="I17" s="16">
        <f t="shared" si="2"/>
        <v>3750</v>
      </c>
      <c r="J17" s="16">
        <f t="shared" si="2"/>
        <v>3000</v>
      </c>
      <c r="K17" s="30">
        <f t="shared" si="2"/>
        <v>50</v>
      </c>
      <c r="L17" s="35">
        <f t="shared" si="2"/>
        <v>7117</v>
      </c>
      <c r="M17" s="68">
        <f t="shared" si="1"/>
        <v>7167</v>
      </c>
    </row>
    <row r="18" spans="1:13" ht="12.75">
      <c r="A18" s="3"/>
      <c r="B18" s="1"/>
      <c r="C18" s="1"/>
      <c r="D18" s="1"/>
      <c r="E18" s="1"/>
      <c r="F18" s="1"/>
      <c r="G18" s="1"/>
      <c r="H18" s="1"/>
      <c r="I18" s="1"/>
      <c r="J18" s="1"/>
      <c r="K18" s="44"/>
      <c r="L18" s="67"/>
      <c r="M18" s="68"/>
    </row>
    <row r="19" spans="1:13" ht="24" customHeight="1">
      <c r="A19" s="115" t="s">
        <v>15</v>
      </c>
      <c r="B19" s="110"/>
      <c r="C19" s="110"/>
      <c r="D19" s="110"/>
      <c r="E19" s="110"/>
      <c r="F19" s="110"/>
      <c r="G19" s="110"/>
      <c r="H19" s="110"/>
      <c r="I19" s="110"/>
      <c r="J19" s="111"/>
      <c r="K19" s="44"/>
      <c r="L19" s="67"/>
      <c r="M19" s="68"/>
    </row>
    <row r="20" spans="1:13" ht="87.75" customHeight="1">
      <c r="A20" s="3" t="s">
        <v>19</v>
      </c>
      <c r="B20" s="49" t="s">
        <v>44</v>
      </c>
      <c r="C20" s="1" t="s">
        <v>12</v>
      </c>
      <c r="D20" s="1" t="s">
        <v>83</v>
      </c>
      <c r="E20" s="1" t="s">
        <v>13</v>
      </c>
      <c r="F20" s="50">
        <f aca="true" t="shared" si="3" ref="F20:F44">G20+H20+I20+J20</f>
        <v>0</v>
      </c>
      <c r="G20" s="51"/>
      <c r="H20" s="52">
        <f>540-540</f>
        <v>0</v>
      </c>
      <c r="I20" s="50"/>
      <c r="J20" s="53"/>
      <c r="K20" s="70"/>
      <c r="L20" s="54">
        <f>540-540</f>
        <v>0</v>
      </c>
      <c r="M20" s="68">
        <f t="shared" si="1"/>
        <v>0</v>
      </c>
    </row>
    <row r="21" spans="1:13" ht="63.75">
      <c r="A21" s="3" t="s">
        <v>20</v>
      </c>
      <c r="B21" s="49" t="s">
        <v>45</v>
      </c>
      <c r="C21" s="1" t="s">
        <v>12</v>
      </c>
      <c r="D21" s="1" t="s">
        <v>77</v>
      </c>
      <c r="E21" s="1" t="s">
        <v>13</v>
      </c>
      <c r="F21" s="50">
        <f t="shared" si="3"/>
        <v>5956</v>
      </c>
      <c r="G21" s="51">
        <v>80</v>
      </c>
      <c r="H21" s="52">
        <f>3000-3000</f>
        <v>0</v>
      </c>
      <c r="I21" s="50">
        <v>3000</v>
      </c>
      <c r="J21" s="53">
        <v>2876</v>
      </c>
      <c r="K21" s="55">
        <v>80</v>
      </c>
      <c r="L21" s="56">
        <f>8876-3000</f>
        <v>5876</v>
      </c>
      <c r="M21" s="68">
        <f t="shared" si="1"/>
        <v>5956</v>
      </c>
    </row>
    <row r="22" spans="1:13" ht="51">
      <c r="A22" s="3" t="s">
        <v>21</v>
      </c>
      <c r="B22" s="49" t="s">
        <v>46</v>
      </c>
      <c r="C22" s="1" t="s">
        <v>12</v>
      </c>
      <c r="D22" s="1" t="s">
        <v>84</v>
      </c>
      <c r="E22" s="1" t="s">
        <v>13</v>
      </c>
      <c r="F22" s="50">
        <f t="shared" si="3"/>
        <v>1500</v>
      </c>
      <c r="G22" s="51"/>
      <c r="H22" s="52">
        <f>6000-6000</f>
        <v>0</v>
      </c>
      <c r="I22" s="50">
        <v>1500</v>
      </c>
      <c r="J22" s="53"/>
      <c r="K22" s="55">
        <v>1500</v>
      </c>
      <c r="L22" s="56">
        <f>6000-6000</f>
        <v>0</v>
      </c>
      <c r="M22" s="68">
        <f t="shared" si="1"/>
        <v>1500</v>
      </c>
    </row>
    <row r="23" spans="1:13" ht="51">
      <c r="A23" s="3" t="s">
        <v>22</v>
      </c>
      <c r="B23" s="49" t="s">
        <v>47</v>
      </c>
      <c r="C23" s="1" t="s">
        <v>12</v>
      </c>
      <c r="D23" s="1" t="s">
        <v>77</v>
      </c>
      <c r="E23" s="1" t="s">
        <v>13</v>
      </c>
      <c r="F23" s="50">
        <f t="shared" si="3"/>
        <v>2529</v>
      </c>
      <c r="G23" s="51">
        <v>29</v>
      </c>
      <c r="H23" s="52"/>
      <c r="I23" s="50">
        <v>1300</v>
      </c>
      <c r="J23" s="53">
        <v>1200</v>
      </c>
      <c r="K23" s="55">
        <v>2529</v>
      </c>
      <c r="L23" s="67"/>
      <c r="M23" s="68">
        <f t="shared" si="1"/>
        <v>2529</v>
      </c>
    </row>
    <row r="24" spans="1:13" ht="38.25">
      <c r="A24" s="3" t="s">
        <v>23</v>
      </c>
      <c r="B24" s="49" t="s">
        <v>48</v>
      </c>
      <c r="C24" s="1" t="s">
        <v>12</v>
      </c>
      <c r="D24" s="1" t="s">
        <v>77</v>
      </c>
      <c r="E24" s="1" t="s">
        <v>13</v>
      </c>
      <c r="F24" s="50">
        <f t="shared" si="3"/>
        <v>6400</v>
      </c>
      <c r="G24" s="51"/>
      <c r="H24" s="52">
        <f>3200-3200</f>
        <v>0</v>
      </c>
      <c r="I24" s="50">
        <v>3200</v>
      </c>
      <c r="J24" s="53">
        <v>3200</v>
      </c>
      <c r="K24" s="55">
        <v>3200</v>
      </c>
      <c r="L24" s="56">
        <f>6400-3200</f>
        <v>3200</v>
      </c>
      <c r="M24" s="68">
        <f t="shared" si="1"/>
        <v>6400</v>
      </c>
    </row>
    <row r="25" spans="1:13" ht="102">
      <c r="A25" s="3" t="s">
        <v>24</v>
      </c>
      <c r="B25" s="49" t="s">
        <v>49</v>
      </c>
      <c r="C25" s="1" t="s">
        <v>12</v>
      </c>
      <c r="D25" s="1" t="s">
        <v>81</v>
      </c>
      <c r="E25" s="1" t="s">
        <v>13</v>
      </c>
      <c r="F25" s="50">
        <f t="shared" si="3"/>
        <v>6600</v>
      </c>
      <c r="G25" s="51">
        <f>1600-1000</f>
        <v>600</v>
      </c>
      <c r="H25" s="50">
        <v>4000</v>
      </c>
      <c r="I25" s="50">
        <v>2000</v>
      </c>
      <c r="J25" s="53"/>
      <c r="K25" s="55">
        <v>600</v>
      </c>
      <c r="L25" s="58">
        <v>6000</v>
      </c>
      <c r="M25" s="68">
        <f t="shared" si="1"/>
        <v>6600</v>
      </c>
    </row>
    <row r="26" spans="1:13" ht="51">
      <c r="A26" s="3" t="s">
        <v>25</v>
      </c>
      <c r="B26" s="49" t="s">
        <v>50</v>
      </c>
      <c r="C26" s="1" t="s">
        <v>12</v>
      </c>
      <c r="D26" s="1" t="s">
        <v>77</v>
      </c>
      <c r="E26" s="1" t="s">
        <v>13</v>
      </c>
      <c r="F26" s="50">
        <f t="shared" si="3"/>
        <v>4504</v>
      </c>
      <c r="G26" s="51">
        <v>480</v>
      </c>
      <c r="H26" s="52">
        <f>1500-1500</f>
        <v>0</v>
      </c>
      <c r="I26" s="50">
        <v>1500</v>
      </c>
      <c r="J26" s="53">
        <v>2524</v>
      </c>
      <c r="K26" s="57">
        <f>5524-1500</f>
        <v>4024</v>
      </c>
      <c r="L26" s="58">
        <v>480</v>
      </c>
      <c r="M26" s="68">
        <f t="shared" si="1"/>
        <v>4504</v>
      </c>
    </row>
    <row r="27" spans="1:13" ht="63.75">
      <c r="A27" s="3" t="s">
        <v>26</v>
      </c>
      <c r="B27" s="49" t="s">
        <v>51</v>
      </c>
      <c r="C27" s="1" t="s">
        <v>12</v>
      </c>
      <c r="D27" s="1" t="s">
        <v>76</v>
      </c>
      <c r="E27" s="1" t="s">
        <v>13</v>
      </c>
      <c r="F27" s="50">
        <f t="shared" si="3"/>
        <v>1303</v>
      </c>
      <c r="G27" s="51"/>
      <c r="H27" s="50">
        <v>1303</v>
      </c>
      <c r="I27" s="50"/>
      <c r="J27" s="53"/>
      <c r="K27" s="70"/>
      <c r="L27" s="58">
        <v>1303</v>
      </c>
      <c r="M27" s="68">
        <f t="shared" si="1"/>
        <v>1303</v>
      </c>
    </row>
    <row r="28" spans="1:13" ht="76.5">
      <c r="A28" s="3" t="s">
        <v>27</v>
      </c>
      <c r="B28" s="49" t="s">
        <v>52</v>
      </c>
      <c r="C28" s="1" t="s">
        <v>12</v>
      </c>
      <c r="D28" s="1" t="s">
        <v>77</v>
      </c>
      <c r="E28" s="1" t="s">
        <v>13</v>
      </c>
      <c r="F28" s="50">
        <f t="shared" si="3"/>
        <v>4500</v>
      </c>
      <c r="G28" s="51"/>
      <c r="H28" s="50"/>
      <c r="I28" s="50">
        <v>2000</v>
      </c>
      <c r="J28" s="53">
        <v>2500</v>
      </c>
      <c r="K28" s="55">
        <v>4500</v>
      </c>
      <c r="L28" s="67"/>
      <c r="M28" s="68">
        <f t="shared" si="1"/>
        <v>4500</v>
      </c>
    </row>
    <row r="29" spans="1:13" ht="65.25" customHeight="1">
      <c r="A29" s="3" t="s">
        <v>28</v>
      </c>
      <c r="B29" s="49" t="s">
        <v>53</v>
      </c>
      <c r="C29" s="1" t="s">
        <v>12</v>
      </c>
      <c r="D29" s="1" t="s">
        <v>77</v>
      </c>
      <c r="E29" s="1" t="s">
        <v>13</v>
      </c>
      <c r="F29" s="50">
        <f t="shared" si="3"/>
        <v>3500</v>
      </c>
      <c r="G29" s="51"/>
      <c r="H29" s="50"/>
      <c r="I29" s="50">
        <v>2800</v>
      </c>
      <c r="J29" s="53">
        <v>700</v>
      </c>
      <c r="K29" s="55">
        <v>3500</v>
      </c>
      <c r="L29" s="67"/>
      <c r="M29" s="68">
        <f t="shared" si="1"/>
        <v>3500</v>
      </c>
    </row>
    <row r="30" spans="1:13" ht="63.75">
      <c r="A30" s="3" t="s">
        <v>29</v>
      </c>
      <c r="B30" s="49" t="s">
        <v>54</v>
      </c>
      <c r="C30" s="1" t="s">
        <v>12</v>
      </c>
      <c r="D30" s="1" t="s">
        <v>77</v>
      </c>
      <c r="E30" s="1" t="s">
        <v>13</v>
      </c>
      <c r="F30" s="50">
        <f t="shared" si="3"/>
        <v>3500</v>
      </c>
      <c r="G30" s="51"/>
      <c r="H30" s="50"/>
      <c r="I30" s="50">
        <v>2800</v>
      </c>
      <c r="J30" s="53">
        <v>700</v>
      </c>
      <c r="K30" s="55">
        <v>3500</v>
      </c>
      <c r="L30" s="67"/>
      <c r="M30" s="68">
        <f t="shared" si="1"/>
        <v>3500</v>
      </c>
    </row>
    <row r="31" spans="1:13" ht="63.75">
      <c r="A31" s="3" t="s">
        <v>30</v>
      </c>
      <c r="B31" s="49" t="s">
        <v>55</v>
      </c>
      <c r="C31" s="1" t="s">
        <v>12</v>
      </c>
      <c r="D31" s="1" t="s">
        <v>77</v>
      </c>
      <c r="E31" s="1" t="s">
        <v>13</v>
      </c>
      <c r="F31" s="50">
        <f t="shared" si="3"/>
        <v>2000</v>
      </c>
      <c r="G31" s="51"/>
      <c r="H31" s="50"/>
      <c r="I31" s="50">
        <v>1500</v>
      </c>
      <c r="J31" s="53">
        <v>500</v>
      </c>
      <c r="K31" s="55">
        <v>2000</v>
      </c>
      <c r="L31" s="67"/>
      <c r="M31" s="68">
        <f t="shared" si="1"/>
        <v>2000</v>
      </c>
    </row>
    <row r="32" spans="1:13" ht="63.75">
      <c r="A32" s="3" t="s">
        <v>31</v>
      </c>
      <c r="B32" s="49" t="s">
        <v>56</v>
      </c>
      <c r="C32" s="1" t="s">
        <v>12</v>
      </c>
      <c r="D32" s="1" t="s">
        <v>77</v>
      </c>
      <c r="E32" s="1" t="s">
        <v>13</v>
      </c>
      <c r="F32" s="50">
        <f t="shared" si="3"/>
        <v>2000</v>
      </c>
      <c r="G32" s="51"/>
      <c r="H32" s="50"/>
      <c r="I32" s="50">
        <v>1500</v>
      </c>
      <c r="J32" s="53">
        <v>500</v>
      </c>
      <c r="K32" s="55">
        <v>2000</v>
      </c>
      <c r="L32" s="67"/>
      <c r="M32" s="68">
        <f t="shared" si="1"/>
        <v>2000</v>
      </c>
    </row>
    <row r="33" spans="1:13" ht="63.75">
      <c r="A33" s="3" t="s">
        <v>32</v>
      </c>
      <c r="B33" s="49" t="s">
        <v>57</v>
      </c>
      <c r="C33" s="1" t="s">
        <v>12</v>
      </c>
      <c r="D33" s="1" t="s">
        <v>77</v>
      </c>
      <c r="E33" s="1" t="s">
        <v>13</v>
      </c>
      <c r="F33" s="50">
        <f t="shared" si="3"/>
        <v>2000</v>
      </c>
      <c r="G33" s="51"/>
      <c r="H33" s="50"/>
      <c r="I33" s="50">
        <v>1500</v>
      </c>
      <c r="J33" s="53">
        <v>500</v>
      </c>
      <c r="K33" s="55">
        <v>2000</v>
      </c>
      <c r="L33" s="67"/>
      <c r="M33" s="68">
        <f t="shared" si="1"/>
        <v>2000</v>
      </c>
    </row>
    <row r="34" spans="1:13" ht="63.75">
      <c r="A34" s="3" t="s">
        <v>33</v>
      </c>
      <c r="B34" s="49" t="s">
        <v>58</v>
      </c>
      <c r="C34" s="1" t="s">
        <v>12</v>
      </c>
      <c r="D34" s="1" t="s">
        <v>77</v>
      </c>
      <c r="E34" s="1" t="s">
        <v>13</v>
      </c>
      <c r="F34" s="50">
        <f t="shared" si="3"/>
        <v>1800</v>
      </c>
      <c r="G34" s="51"/>
      <c r="H34" s="50"/>
      <c r="I34" s="50"/>
      <c r="J34" s="53">
        <v>1800</v>
      </c>
      <c r="K34" s="55">
        <v>1800</v>
      </c>
      <c r="L34" s="67"/>
      <c r="M34" s="68">
        <f t="shared" si="1"/>
        <v>1800</v>
      </c>
    </row>
    <row r="35" spans="1:14" ht="63.75">
      <c r="A35" s="3" t="s">
        <v>34</v>
      </c>
      <c r="B35" s="49" t="s">
        <v>91</v>
      </c>
      <c r="C35" s="1" t="s">
        <v>12</v>
      </c>
      <c r="D35" s="1" t="s">
        <v>77</v>
      </c>
      <c r="E35" s="1" t="s">
        <v>13</v>
      </c>
      <c r="F35" s="50">
        <f t="shared" si="3"/>
        <v>4200</v>
      </c>
      <c r="G35" s="51"/>
      <c r="H35" s="50">
        <v>1400</v>
      </c>
      <c r="I35" s="50">
        <v>1400</v>
      </c>
      <c r="J35" s="53">
        <v>1400</v>
      </c>
      <c r="K35" s="70">
        <v>3350</v>
      </c>
      <c r="L35" s="58">
        <v>850</v>
      </c>
      <c r="M35" s="68">
        <f t="shared" si="1"/>
        <v>4200</v>
      </c>
      <c r="N35" s="67"/>
    </row>
    <row r="36" spans="1:14" ht="51">
      <c r="A36" s="3" t="s">
        <v>35</v>
      </c>
      <c r="B36" s="49" t="s">
        <v>60</v>
      </c>
      <c r="C36" s="1" t="s">
        <v>12</v>
      </c>
      <c r="D36" s="1" t="s">
        <v>77</v>
      </c>
      <c r="E36" s="1" t="s">
        <v>13</v>
      </c>
      <c r="F36" s="50">
        <f t="shared" si="3"/>
        <v>7800</v>
      </c>
      <c r="G36" s="51"/>
      <c r="H36" s="52">
        <f>3200-2200</f>
        <v>1000</v>
      </c>
      <c r="I36" s="50">
        <v>3300</v>
      </c>
      <c r="J36" s="53">
        <v>3500</v>
      </c>
      <c r="K36" s="71">
        <f>1450-450</f>
        <v>1000</v>
      </c>
      <c r="L36" s="56">
        <f>8550-1750</f>
        <v>6800</v>
      </c>
      <c r="M36" s="68">
        <f t="shared" si="1"/>
        <v>7800</v>
      </c>
      <c r="N36" s="67"/>
    </row>
    <row r="37" spans="1:14" ht="87.75" customHeight="1">
      <c r="A37" s="3" t="s">
        <v>36</v>
      </c>
      <c r="B37" s="49" t="s">
        <v>61</v>
      </c>
      <c r="C37" s="1" t="s">
        <v>12</v>
      </c>
      <c r="D37" s="1" t="s">
        <v>77</v>
      </c>
      <c r="E37" s="1" t="s">
        <v>13</v>
      </c>
      <c r="F37" s="50">
        <f t="shared" si="3"/>
        <v>4300</v>
      </c>
      <c r="G37" s="51"/>
      <c r="H37" s="50"/>
      <c r="I37" s="50"/>
      <c r="J37" s="53">
        <v>4300</v>
      </c>
      <c r="K37" s="70"/>
      <c r="L37" s="25">
        <v>4300</v>
      </c>
      <c r="M37" s="68">
        <f t="shared" si="1"/>
        <v>4300</v>
      </c>
      <c r="N37" s="67"/>
    </row>
    <row r="38" spans="1:14" ht="38.25">
      <c r="A38" s="3" t="s">
        <v>37</v>
      </c>
      <c r="B38" s="49" t="s">
        <v>62</v>
      </c>
      <c r="C38" s="1" t="s">
        <v>12</v>
      </c>
      <c r="D38" s="1" t="s">
        <v>77</v>
      </c>
      <c r="E38" s="1" t="s">
        <v>13</v>
      </c>
      <c r="F38" s="50">
        <f t="shared" si="3"/>
        <v>3500</v>
      </c>
      <c r="G38" s="51"/>
      <c r="H38" s="50"/>
      <c r="I38" s="50"/>
      <c r="J38" s="53">
        <v>3500</v>
      </c>
      <c r="K38" s="70">
        <v>3500</v>
      </c>
      <c r="L38" s="67"/>
      <c r="M38" s="68">
        <f t="shared" si="1"/>
        <v>3500</v>
      </c>
      <c r="N38" s="67"/>
    </row>
    <row r="39" spans="1:14" ht="76.5">
      <c r="A39" s="3" t="s">
        <v>38</v>
      </c>
      <c r="B39" s="49" t="s">
        <v>63</v>
      </c>
      <c r="C39" s="1" t="s">
        <v>12</v>
      </c>
      <c r="D39" s="1" t="s">
        <v>77</v>
      </c>
      <c r="E39" s="1" t="s">
        <v>13</v>
      </c>
      <c r="F39" s="50">
        <f t="shared" si="3"/>
        <v>3800</v>
      </c>
      <c r="G39" s="51"/>
      <c r="H39" s="50"/>
      <c r="I39" s="50"/>
      <c r="J39" s="53">
        <v>3800</v>
      </c>
      <c r="K39" s="70">
        <v>3800</v>
      </c>
      <c r="L39" s="67"/>
      <c r="M39" s="68">
        <f t="shared" si="1"/>
        <v>3800</v>
      </c>
      <c r="N39" s="67"/>
    </row>
    <row r="40" spans="1:14" ht="38.25">
      <c r="A40" s="3" t="s">
        <v>39</v>
      </c>
      <c r="B40" s="49" t="s">
        <v>64</v>
      </c>
      <c r="C40" s="1" t="s">
        <v>12</v>
      </c>
      <c r="D40" s="1" t="s">
        <v>77</v>
      </c>
      <c r="E40" s="1" t="s">
        <v>13</v>
      </c>
      <c r="F40" s="50">
        <f t="shared" si="3"/>
        <v>3800</v>
      </c>
      <c r="G40" s="51"/>
      <c r="H40" s="50"/>
      <c r="I40" s="50"/>
      <c r="J40" s="53">
        <v>3800</v>
      </c>
      <c r="K40" s="70">
        <v>3800</v>
      </c>
      <c r="L40" s="67"/>
      <c r="M40" s="68">
        <f t="shared" si="1"/>
        <v>3800</v>
      </c>
      <c r="N40" s="67"/>
    </row>
    <row r="41" spans="1:14" ht="89.25">
      <c r="A41" s="3" t="s">
        <v>40</v>
      </c>
      <c r="B41" s="49" t="s">
        <v>65</v>
      </c>
      <c r="C41" s="1" t="s">
        <v>12</v>
      </c>
      <c r="D41" s="1" t="s">
        <v>77</v>
      </c>
      <c r="E41" s="1" t="s">
        <v>13</v>
      </c>
      <c r="F41" s="50">
        <f t="shared" si="3"/>
        <v>5147</v>
      </c>
      <c r="G41" s="51">
        <f>985-285-403</f>
        <v>297</v>
      </c>
      <c r="H41" s="50">
        <v>1250</v>
      </c>
      <c r="I41" s="50">
        <v>2300</v>
      </c>
      <c r="J41" s="53">
        <v>1300</v>
      </c>
      <c r="K41" s="59">
        <f>700-403</f>
        <v>297</v>
      </c>
      <c r="L41" s="58">
        <v>4850</v>
      </c>
      <c r="M41" s="68">
        <f t="shared" si="1"/>
        <v>5147</v>
      </c>
      <c r="N41" s="67"/>
    </row>
    <row r="42" spans="1:14" ht="76.5">
      <c r="A42" s="3" t="s">
        <v>41</v>
      </c>
      <c r="B42" s="49" t="s">
        <v>66</v>
      </c>
      <c r="C42" s="1" t="s">
        <v>12</v>
      </c>
      <c r="D42" s="1" t="s">
        <v>79</v>
      </c>
      <c r="E42" s="1" t="s">
        <v>13</v>
      </c>
      <c r="F42" s="50">
        <f t="shared" si="3"/>
        <v>35329</v>
      </c>
      <c r="G42" s="51">
        <v>27000</v>
      </c>
      <c r="H42" s="50">
        <v>8329</v>
      </c>
      <c r="I42" s="50"/>
      <c r="J42" s="53"/>
      <c r="K42" s="70"/>
      <c r="L42" s="67">
        <v>35329</v>
      </c>
      <c r="M42" s="68">
        <f t="shared" si="1"/>
        <v>35329</v>
      </c>
      <c r="N42" s="67"/>
    </row>
    <row r="43" spans="1:14" ht="91.5" customHeight="1">
      <c r="A43" s="3" t="s">
        <v>42</v>
      </c>
      <c r="B43" s="49" t="s">
        <v>67</v>
      </c>
      <c r="C43" s="1" t="s">
        <v>12</v>
      </c>
      <c r="D43" s="1" t="s">
        <v>80</v>
      </c>
      <c r="E43" s="1" t="s">
        <v>13</v>
      </c>
      <c r="F43" s="50">
        <f t="shared" si="3"/>
        <v>6141</v>
      </c>
      <c r="G43" s="51">
        <f>1600-300+1406+1600</f>
        <v>4306</v>
      </c>
      <c r="H43" s="50">
        <v>1835</v>
      </c>
      <c r="I43" s="50"/>
      <c r="J43" s="53"/>
      <c r="K43" s="70">
        <v>2417</v>
      </c>
      <c r="L43" s="25">
        <v>3724</v>
      </c>
      <c r="M43" s="68">
        <f t="shared" si="1"/>
        <v>6141</v>
      </c>
      <c r="N43" s="67"/>
    </row>
    <row r="44" spans="1:14" ht="38.25">
      <c r="A44" s="3" t="s">
        <v>43</v>
      </c>
      <c r="B44" s="49" t="s">
        <v>68</v>
      </c>
      <c r="C44" s="1" t="s">
        <v>12</v>
      </c>
      <c r="D44" s="1" t="s">
        <v>77</v>
      </c>
      <c r="E44" s="1" t="s">
        <v>13</v>
      </c>
      <c r="F44" s="50">
        <f t="shared" si="3"/>
        <v>3000</v>
      </c>
      <c r="G44" s="60"/>
      <c r="H44" s="61"/>
      <c r="I44" s="61"/>
      <c r="J44" s="53">
        <v>3000</v>
      </c>
      <c r="K44" s="70">
        <v>3000</v>
      </c>
      <c r="L44" s="67"/>
      <c r="M44" s="68">
        <f t="shared" si="1"/>
        <v>3000</v>
      </c>
      <c r="N44" s="67"/>
    </row>
    <row r="45" spans="1:14" ht="12.75">
      <c r="A45" s="3"/>
      <c r="B45" s="124" t="s">
        <v>69</v>
      </c>
      <c r="C45" s="124"/>
      <c r="D45" s="124"/>
      <c r="E45" s="124"/>
      <c r="F45" s="20">
        <f aca="true" t="shared" si="4" ref="F45:L45">SUM(F20:F44)</f>
        <v>125109</v>
      </c>
      <c r="G45" s="20">
        <f t="shared" si="4"/>
        <v>32792</v>
      </c>
      <c r="H45" s="20">
        <f t="shared" si="4"/>
        <v>19117</v>
      </c>
      <c r="I45" s="20">
        <f t="shared" si="4"/>
        <v>31600</v>
      </c>
      <c r="J45" s="69">
        <f t="shared" si="4"/>
        <v>41600</v>
      </c>
      <c r="K45" s="31">
        <f t="shared" si="4"/>
        <v>52397</v>
      </c>
      <c r="L45" s="31">
        <f t="shared" si="4"/>
        <v>72712</v>
      </c>
      <c r="M45" s="68">
        <f t="shared" si="1"/>
        <v>125109</v>
      </c>
      <c r="N45" s="67"/>
    </row>
    <row r="46" spans="1:14" ht="12.75">
      <c r="A46" s="1"/>
      <c r="B46" s="106" t="s">
        <v>70</v>
      </c>
      <c r="C46" s="106"/>
      <c r="D46" s="106"/>
      <c r="E46" s="106"/>
      <c r="F46" s="20">
        <f aca="true" t="shared" si="5" ref="F46:L46">F45+F17</f>
        <v>132276</v>
      </c>
      <c r="G46" s="20">
        <f t="shared" si="5"/>
        <v>33022</v>
      </c>
      <c r="H46" s="20">
        <f t="shared" si="5"/>
        <v>19304</v>
      </c>
      <c r="I46" s="20">
        <f t="shared" si="5"/>
        <v>35350</v>
      </c>
      <c r="J46" s="69">
        <f t="shared" si="5"/>
        <v>44600</v>
      </c>
      <c r="K46" s="5">
        <f t="shared" si="5"/>
        <v>52447</v>
      </c>
      <c r="L46" s="5">
        <f t="shared" si="5"/>
        <v>79829</v>
      </c>
      <c r="M46" s="68">
        <f t="shared" si="1"/>
        <v>132276</v>
      </c>
      <c r="N46" s="67"/>
    </row>
    <row r="48" spans="6:12" ht="12.75">
      <c r="F48" s="62"/>
      <c r="G48" s="45"/>
      <c r="K48">
        <v>-52447</v>
      </c>
      <c r="L48">
        <v>79829</v>
      </c>
    </row>
    <row r="49" spans="6:7" ht="12.75">
      <c r="F49" s="62"/>
      <c r="G49" s="45"/>
    </row>
    <row r="50" ht="12.75">
      <c r="F50" s="63"/>
    </row>
  </sheetData>
  <sheetProtection/>
  <mergeCells count="14">
    <mergeCell ref="A9:A11"/>
    <mergeCell ref="B9:B11"/>
    <mergeCell ref="C9:C11"/>
    <mergeCell ref="D9:D11"/>
    <mergeCell ref="E9:J9"/>
    <mergeCell ref="E10:E11"/>
    <mergeCell ref="F10:F11"/>
    <mergeCell ref="G10:J10"/>
    <mergeCell ref="B46:E46"/>
    <mergeCell ref="A7:J7"/>
    <mergeCell ref="A13:J13"/>
    <mergeCell ref="B17:E17"/>
    <mergeCell ref="A19:J19"/>
    <mergeCell ref="B45:E45"/>
  </mergeCells>
  <printOptions/>
  <pageMargins left="0" right="0" top="0.5118110236220472" bottom="0.5118110236220472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P82"/>
  <sheetViews>
    <sheetView tabSelected="1" zoomScalePageLayoutView="0" workbookViewId="0" topLeftCell="A73">
      <selection activeCell="N76" sqref="N76"/>
    </sheetView>
  </sheetViews>
  <sheetFormatPr defaultColWidth="9.140625" defaultRowHeight="12.75"/>
  <cols>
    <col min="1" max="1" width="4.8515625" style="79" customWidth="1"/>
    <col min="2" max="2" width="18.57421875" style="44" customWidth="1"/>
    <col min="3" max="3" width="11.140625" style="44" customWidth="1"/>
    <col min="4" max="4" width="8.8515625" style="44" customWidth="1"/>
    <col min="5" max="5" width="10.421875" style="44" customWidth="1"/>
    <col min="6" max="6" width="14.7109375" style="68" bestFit="1" customWidth="1"/>
    <col min="7" max="7" width="13.8515625" style="85" customWidth="1"/>
    <col min="8" max="8" width="13.140625" style="84" customWidth="1"/>
    <col min="9" max="9" width="13.57421875" style="84" customWidth="1"/>
    <col min="10" max="10" width="13.140625" style="85" customWidth="1"/>
    <col min="11" max="11" width="10.00390625" style="44" bestFit="1" customWidth="1"/>
    <col min="12" max="12" width="9.140625" style="44" customWidth="1"/>
    <col min="13" max="13" width="11.28125" style="44" customWidth="1"/>
    <col min="14" max="14" width="11.140625" style="44" customWidth="1"/>
    <col min="15" max="15" width="10.140625" style="44" bestFit="1" customWidth="1"/>
    <col min="16" max="16384" width="9.140625" style="44" customWidth="1"/>
  </cols>
  <sheetData>
    <row r="2" spans="6:10" ht="15.75">
      <c r="F2" s="94"/>
      <c r="G2" s="94"/>
      <c r="H2" s="129" t="s">
        <v>86</v>
      </c>
      <c r="I2" s="129"/>
      <c r="J2" s="129"/>
    </row>
    <row r="3" spans="6:10" ht="12.75" customHeight="1">
      <c r="F3" s="94"/>
      <c r="G3" s="94"/>
      <c r="H3" s="129" t="s">
        <v>182</v>
      </c>
      <c r="I3" s="129"/>
      <c r="J3" s="129"/>
    </row>
    <row r="4" spans="6:10" ht="15.75">
      <c r="F4" s="102"/>
      <c r="G4" s="102"/>
      <c r="H4" s="129" t="s">
        <v>181</v>
      </c>
      <c r="I4" s="129"/>
      <c r="J4" s="129"/>
    </row>
    <row r="5" spans="6:10" ht="10.5" customHeight="1">
      <c r="F5" s="94"/>
      <c r="G5" s="94"/>
      <c r="H5" s="94"/>
      <c r="I5" s="94"/>
      <c r="J5" s="94"/>
    </row>
    <row r="6" spans="1:10" ht="30.75" customHeight="1">
      <c r="A6" s="123" t="s">
        <v>162</v>
      </c>
      <c r="B6" s="123"/>
      <c r="C6" s="123"/>
      <c r="D6" s="123"/>
      <c r="E6" s="123"/>
      <c r="F6" s="123"/>
      <c r="G6" s="123"/>
      <c r="H6" s="123"/>
      <c r="I6" s="123"/>
      <c r="J6" s="123"/>
    </row>
    <row r="7" ht="15" customHeight="1"/>
    <row r="8" spans="1:10" ht="18.75" customHeight="1">
      <c r="A8" s="125" t="s">
        <v>0</v>
      </c>
      <c r="B8" s="126" t="s">
        <v>1</v>
      </c>
      <c r="C8" s="126" t="s">
        <v>85</v>
      </c>
      <c r="D8" s="126" t="s">
        <v>3</v>
      </c>
      <c r="E8" s="126" t="s">
        <v>4</v>
      </c>
      <c r="F8" s="126"/>
      <c r="G8" s="126"/>
      <c r="H8" s="126"/>
      <c r="I8" s="126"/>
      <c r="J8" s="126"/>
    </row>
    <row r="9" spans="1:10" ht="25.5" customHeight="1">
      <c r="A9" s="125"/>
      <c r="B9" s="126"/>
      <c r="C9" s="126"/>
      <c r="D9" s="126"/>
      <c r="E9" s="126" t="s">
        <v>5</v>
      </c>
      <c r="F9" s="128" t="s">
        <v>6</v>
      </c>
      <c r="G9" s="128" t="s">
        <v>7</v>
      </c>
      <c r="H9" s="128"/>
      <c r="I9" s="128"/>
      <c r="J9" s="128"/>
    </row>
    <row r="10" spans="1:10" ht="37.5" customHeight="1">
      <c r="A10" s="125"/>
      <c r="B10" s="126"/>
      <c r="C10" s="126"/>
      <c r="D10" s="126"/>
      <c r="E10" s="126"/>
      <c r="F10" s="128"/>
      <c r="G10" s="82">
        <v>2009</v>
      </c>
      <c r="H10" s="83">
        <v>2010</v>
      </c>
      <c r="I10" s="83">
        <v>2011</v>
      </c>
      <c r="J10" s="82">
        <v>2012</v>
      </c>
    </row>
    <row r="11" spans="1:10" ht="12.75">
      <c r="A11" s="92">
        <v>1</v>
      </c>
      <c r="B11" s="93">
        <f aca="true" t="shared" si="0" ref="B11:J11">A11+1</f>
        <v>2</v>
      </c>
      <c r="C11" s="93">
        <f t="shared" si="0"/>
        <v>3</v>
      </c>
      <c r="D11" s="93">
        <f t="shared" si="0"/>
        <v>4</v>
      </c>
      <c r="E11" s="93">
        <f t="shared" si="0"/>
        <v>5</v>
      </c>
      <c r="F11" s="88">
        <f t="shared" si="0"/>
        <v>6</v>
      </c>
      <c r="G11" s="89">
        <f t="shared" si="0"/>
        <v>7</v>
      </c>
      <c r="H11" s="90">
        <f t="shared" si="0"/>
        <v>8</v>
      </c>
      <c r="I11" s="90">
        <f t="shared" si="0"/>
        <v>9</v>
      </c>
      <c r="J11" s="89">
        <f t="shared" si="0"/>
        <v>10</v>
      </c>
    </row>
    <row r="12" spans="1:10" ht="12.75">
      <c r="A12" s="127" t="s">
        <v>8</v>
      </c>
      <c r="B12" s="127"/>
      <c r="C12" s="127"/>
      <c r="D12" s="127"/>
      <c r="E12" s="127"/>
      <c r="F12" s="127"/>
      <c r="G12" s="127"/>
      <c r="H12" s="127"/>
      <c r="I12" s="127"/>
      <c r="J12" s="127"/>
    </row>
    <row r="13" spans="1:10" ht="96.75" customHeight="1">
      <c r="A13" s="81" t="s">
        <v>16</v>
      </c>
      <c r="B13" s="49" t="s">
        <v>9</v>
      </c>
      <c r="C13" s="1" t="s">
        <v>143</v>
      </c>
      <c r="D13" s="80" t="s">
        <v>165</v>
      </c>
      <c r="E13" s="1" t="s">
        <v>13</v>
      </c>
      <c r="F13" s="14">
        <f aca="true" t="shared" si="1" ref="F13:F25">G13+H13+I13+J13</f>
        <v>180</v>
      </c>
      <c r="G13" s="14">
        <v>180</v>
      </c>
      <c r="H13" s="75"/>
      <c r="I13" s="75"/>
      <c r="J13" s="14"/>
    </row>
    <row r="14" spans="1:10" ht="54.75" customHeight="1">
      <c r="A14" s="81" t="s">
        <v>17</v>
      </c>
      <c r="B14" s="49" t="s">
        <v>102</v>
      </c>
      <c r="C14" s="1" t="s">
        <v>143</v>
      </c>
      <c r="D14" s="1" t="s">
        <v>113</v>
      </c>
      <c r="E14" s="1" t="s">
        <v>13</v>
      </c>
      <c r="F14" s="14">
        <f t="shared" si="1"/>
        <v>17327</v>
      </c>
      <c r="G14" s="14"/>
      <c r="H14" s="75">
        <v>1459</v>
      </c>
      <c r="I14" s="75">
        <v>1048</v>
      </c>
      <c r="J14" s="75">
        <f>4250+500+550+10000-480</f>
        <v>14820</v>
      </c>
    </row>
    <row r="15" spans="1:14" ht="53.25" customHeight="1">
      <c r="A15" s="81" t="s">
        <v>18</v>
      </c>
      <c r="B15" s="49" t="s">
        <v>103</v>
      </c>
      <c r="C15" s="1" t="s">
        <v>143</v>
      </c>
      <c r="D15" s="1" t="s">
        <v>113</v>
      </c>
      <c r="E15" s="1" t="s">
        <v>13</v>
      </c>
      <c r="F15" s="14">
        <f t="shared" si="1"/>
        <v>8477</v>
      </c>
      <c r="G15" s="14"/>
      <c r="H15" s="75">
        <f>2050+900</f>
        <v>2950</v>
      </c>
      <c r="I15" s="75">
        <f>3000+1550</f>
        <v>4550</v>
      </c>
      <c r="J15" s="75">
        <f>1125-148</f>
        <v>977</v>
      </c>
      <c r="M15" s="91"/>
      <c r="N15" s="91"/>
    </row>
    <row r="16" spans="1:14" ht="54.75" customHeight="1">
      <c r="A16" s="81" t="s">
        <v>93</v>
      </c>
      <c r="B16" s="49" t="s">
        <v>104</v>
      </c>
      <c r="C16" s="1" t="s">
        <v>143</v>
      </c>
      <c r="D16" s="1" t="s">
        <v>113</v>
      </c>
      <c r="E16" s="1" t="s">
        <v>13</v>
      </c>
      <c r="F16" s="14">
        <f t="shared" si="1"/>
        <v>8129.454</v>
      </c>
      <c r="G16" s="14"/>
      <c r="H16" s="75">
        <v>1281.5</v>
      </c>
      <c r="I16" s="75">
        <v>4047.954</v>
      </c>
      <c r="J16" s="75">
        <v>2800</v>
      </c>
      <c r="M16" s="91"/>
      <c r="N16" s="91"/>
    </row>
    <row r="17" spans="1:13" ht="42.75" customHeight="1">
      <c r="A17" s="81" t="s">
        <v>94</v>
      </c>
      <c r="B17" s="49" t="s">
        <v>105</v>
      </c>
      <c r="C17" s="1" t="s">
        <v>143</v>
      </c>
      <c r="D17" s="1" t="s">
        <v>114</v>
      </c>
      <c r="E17" s="1" t="s">
        <v>13</v>
      </c>
      <c r="F17" s="14">
        <f t="shared" si="1"/>
        <v>3929.2</v>
      </c>
      <c r="G17" s="14">
        <v>50</v>
      </c>
      <c r="H17" s="75">
        <f>700+550</f>
        <v>1250</v>
      </c>
      <c r="I17" s="75">
        <f>1700+67.2+50</f>
        <v>1817.2</v>
      </c>
      <c r="J17" s="14">
        <v>812</v>
      </c>
      <c r="M17" s="91"/>
    </row>
    <row r="18" spans="1:13" ht="45" customHeight="1">
      <c r="A18" s="81" t="s">
        <v>95</v>
      </c>
      <c r="B18" s="49" t="s">
        <v>106</v>
      </c>
      <c r="C18" s="1" t="s">
        <v>143</v>
      </c>
      <c r="D18" s="1" t="s">
        <v>114</v>
      </c>
      <c r="E18" s="1" t="s">
        <v>13</v>
      </c>
      <c r="F18" s="14">
        <f t="shared" si="1"/>
        <v>5410</v>
      </c>
      <c r="G18" s="14"/>
      <c r="H18" s="75">
        <f>700+300</f>
        <v>1000</v>
      </c>
      <c r="I18" s="75">
        <f>900+110</f>
        <v>1010</v>
      </c>
      <c r="J18" s="14">
        <f>3414.946-14.946</f>
        <v>3400</v>
      </c>
      <c r="M18" s="91"/>
    </row>
    <row r="19" spans="1:10" ht="95.25" customHeight="1">
      <c r="A19" s="81" t="s">
        <v>96</v>
      </c>
      <c r="B19" s="49" t="s">
        <v>110</v>
      </c>
      <c r="C19" s="1" t="s">
        <v>143</v>
      </c>
      <c r="D19" s="1" t="s">
        <v>142</v>
      </c>
      <c r="E19" s="1" t="s">
        <v>13</v>
      </c>
      <c r="F19" s="14">
        <f t="shared" si="1"/>
        <v>270</v>
      </c>
      <c r="G19" s="14"/>
      <c r="H19" s="75">
        <v>250</v>
      </c>
      <c r="I19" s="75"/>
      <c r="J19" s="14">
        <f>100+20-100</f>
        <v>20</v>
      </c>
    </row>
    <row r="20" spans="1:10" ht="59.25" customHeight="1">
      <c r="A20" s="81" t="s">
        <v>170</v>
      </c>
      <c r="B20" s="101" t="s">
        <v>168</v>
      </c>
      <c r="C20" s="1" t="s">
        <v>143</v>
      </c>
      <c r="D20" s="1" t="s">
        <v>138</v>
      </c>
      <c r="E20" s="1" t="s">
        <v>13</v>
      </c>
      <c r="F20" s="14">
        <f t="shared" si="1"/>
        <v>24326.048000000003</v>
      </c>
      <c r="G20" s="14"/>
      <c r="H20" s="75"/>
      <c r="I20" s="75"/>
      <c r="J20" s="14">
        <f>15320+9006.048</f>
        <v>24326.048000000003</v>
      </c>
    </row>
    <row r="21" spans="1:10" ht="66" customHeight="1">
      <c r="A21" s="81" t="s">
        <v>171</v>
      </c>
      <c r="B21" s="101" t="s">
        <v>197</v>
      </c>
      <c r="C21" s="1" t="s">
        <v>143</v>
      </c>
      <c r="D21" s="1" t="s">
        <v>204</v>
      </c>
      <c r="E21" s="1" t="s">
        <v>13</v>
      </c>
      <c r="F21" s="14">
        <f t="shared" si="1"/>
        <v>49.606</v>
      </c>
      <c r="G21" s="14"/>
      <c r="H21" s="75"/>
      <c r="I21" s="75"/>
      <c r="J21" s="14">
        <v>49.606</v>
      </c>
    </row>
    <row r="22" spans="1:10" ht="66" customHeight="1">
      <c r="A22" s="81" t="s">
        <v>199</v>
      </c>
      <c r="B22" s="101" t="s">
        <v>169</v>
      </c>
      <c r="C22" s="1" t="s">
        <v>143</v>
      </c>
      <c r="D22" s="1" t="s">
        <v>138</v>
      </c>
      <c r="E22" s="1" t="s">
        <v>13</v>
      </c>
      <c r="F22" s="14">
        <f>G22+H22+I22+J22</f>
        <v>24320</v>
      </c>
      <c r="G22" s="14"/>
      <c r="H22" s="75"/>
      <c r="I22" s="75"/>
      <c r="J22" s="14">
        <v>24320</v>
      </c>
    </row>
    <row r="23" spans="1:10" ht="66" customHeight="1">
      <c r="A23" s="81" t="s">
        <v>200</v>
      </c>
      <c r="B23" s="101" t="s">
        <v>178</v>
      </c>
      <c r="C23" s="1" t="s">
        <v>143</v>
      </c>
      <c r="D23" s="1" t="s">
        <v>119</v>
      </c>
      <c r="E23" s="1" t="s">
        <v>13</v>
      </c>
      <c r="F23" s="14">
        <f t="shared" si="1"/>
        <v>150</v>
      </c>
      <c r="G23" s="14"/>
      <c r="H23" s="75"/>
      <c r="I23" s="75"/>
      <c r="J23" s="14">
        <f>350-200</f>
        <v>150</v>
      </c>
    </row>
    <row r="24" spans="1:10" ht="66" customHeight="1">
      <c r="A24" s="81" t="s">
        <v>201</v>
      </c>
      <c r="B24" s="101" t="s">
        <v>179</v>
      </c>
      <c r="C24" s="1" t="s">
        <v>143</v>
      </c>
      <c r="D24" s="1" t="s">
        <v>119</v>
      </c>
      <c r="E24" s="1" t="s">
        <v>13</v>
      </c>
      <c r="F24" s="14">
        <f t="shared" si="1"/>
        <v>150</v>
      </c>
      <c r="G24" s="14"/>
      <c r="H24" s="75"/>
      <c r="I24" s="75"/>
      <c r="J24" s="14">
        <f>350-200</f>
        <v>150</v>
      </c>
    </row>
    <row r="25" spans="1:10" ht="66" customHeight="1">
      <c r="A25" s="81" t="s">
        <v>202</v>
      </c>
      <c r="B25" s="101" t="s">
        <v>180</v>
      </c>
      <c r="C25" s="1" t="s">
        <v>143</v>
      </c>
      <c r="D25" s="1" t="s">
        <v>119</v>
      </c>
      <c r="E25" s="1" t="s">
        <v>13</v>
      </c>
      <c r="F25" s="14">
        <f t="shared" si="1"/>
        <v>150</v>
      </c>
      <c r="G25" s="14"/>
      <c r="H25" s="75"/>
      <c r="I25" s="75"/>
      <c r="J25" s="14">
        <f>350-200</f>
        <v>150</v>
      </c>
    </row>
    <row r="26" spans="1:10" ht="69" customHeight="1">
      <c r="A26" s="81" t="s">
        <v>203</v>
      </c>
      <c r="B26" s="49" t="s">
        <v>198</v>
      </c>
      <c r="C26" s="1" t="s">
        <v>143</v>
      </c>
      <c r="D26" s="80" t="s">
        <v>165</v>
      </c>
      <c r="E26" s="1" t="s">
        <v>13</v>
      </c>
      <c r="F26" s="14">
        <f>G26+H26+I26+J26</f>
        <v>20</v>
      </c>
      <c r="G26" s="14"/>
      <c r="H26" s="75"/>
      <c r="I26" s="75"/>
      <c r="J26" s="14">
        <v>20</v>
      </c>
    </row>
    <row r="27" spans="1:10" ht="12.75">
      <c r="A27" s="81"/>
      <c r="B27" s="106" t="s">
        <v>14</v>
      </c>
      <c r="C27" s="106"/>
      <c r="D27" s="106"/>
      <c r="E27" s="106"/>
      <c r="F27" s="76">
        <f>SUM(F13:F26)</f>
        <v>92888.30799999999</v>
      </c>
      <c r="G27" s="76">
        <f>SUM(G13:G26)</f>
        <v>230</v>
      </c>
      <c r="H27" s="76">
        <f>SUM(H13:H26)</f>
        <v>8190.5</v>
      </c>
      <c r="I27" s="76">
        <f>SUM(I13:I26)</f>
        <v>12473.154</v>
      </c>
      <c r="J27" s="76">
        <f>SUM(J13:J26)</f>
        <v>71994.65400000001</v>
      </c>
    </row>
    <row r="28" spans="1:10" ht="12.75">
      <c r="A28" s="81"/>
      <c r="B28" s="1"/>
      <c r="C28" s="1"/>
      <c r="D28" s="1"/>
      <c r="E28" s="1"/>
      <c r="F28" s="4"/>
      <c r="G28" s="86"/>
      <c r="H28" s="87"/>
      <c r="I28" s="87"/>
      <c r="J28" s="86"/>
    </row>
    <row r="29" spans="1:10" ht="24" customHeight="1">
      <c r="A29" s="127" t="s">
        <v>15</v>
      </c>
      <c r="B29" s="127"/>
      <c r="C29" s="127"/>
      <c r="D29" s="127"/>
      <c r="E29" s="127"/>
      <c r="F29" s="127"/>
      <c r="G29" s="127"/>
      <c r="H29" s="127"/>
      <c r="I29" s="127"/>
      <c r="J29" s="127"/>
    </row>
    <row r="30" spans="1:10" ht="48" customHeight="1">
      <c r="A30" s="81" t="s">
        <v>19</v>
      </c>
      <c r="B30" s="49" t="s">
        <v>130</v>
      </c>
      <c r="C30" s="1" t="s">
        <v>143</v>
      </c>
      <c r="D30" s="1" t="s">
        <v>119</v>
      </c>
      <c r="E30" s="1" t="s">
        <v>13</v>
      </c>
      <c r="F30" s="14">
        <f aca="true" t="shared" si="2" ref="F30:F74">G30+H30+I30+J30</f>
        <v>583.614</v>
      </c>
      <c r="G30" s="14">
        <v>80</v>
      </c>
      <c r="H30" s="75"/>
      <c r="I30" s="75">
        <v>503.614</v>
      </c>
      <c r="J30" s="14"/>
    </row>
    <row r="31" spans="1:10" ht="89.25">
      <c r="A31" s="81" t="s">
        <v>20</v>
      </c>
      <c r="B31" s="77" t="s">
        <v>141</v>
      </c>
      <c r="C31" s="1" t="s">
        <v>143</v>
      </c>
      <c r="D31" s="1" t="s">
        <v>120</v>
      </c>
      <c r="E31" s="1" t="s">
        <v>13</v>
      </c>
      <c r="F31" s="14">
        <f t="shared" si="2"/>
        <v>15</v>
      </c>
      <c r="G31" s="14"/>
      <c r="H31" s="75">
        <v>5</v>
      </c>
      <c r="I31" s="75"/>
      <c r="J31" s="104">
        <f>500-490</f>
        <v>10</v>
      </c>
    </row>
    <row r="32" spans="1:10" ht="38.25">
      <c r="A32" s="81" t="s">
        <v>21</v>
      </c>
      <c r="B32" s="74" t="s">
        <v>109</v>
      </c>
      <c r="C32" s="1" t="s">
        <v>143</v>
      </c>
      <c r="D32" s="1" t="s">
        <v>120</v>
      </c>
      <c r="E32" s="1" t="s">
        <v>13</v>
      </c>
      <c r="F32" s="14">
        <f t="shared" si="2"/>
        <v>543.78255</v>
      </c>
      <c r="G32" s="14">
        <v>29</v>
      </c>
      <c r="H32" s="75">
        <v>14.78255</v>
      </c>
      <c r="I32" s="75"/>
      <c r="J32" s="104">
        <f>100+500-100</f>
        <v>500</v>
      </c>
    </row>
    <row r="33" spans="1:10" ht="92.25" customHeight="1">
      <c r="A33" s="81" t="s">
        <v>22</v>
      </c>
      <c r="B33" s="49" t="s">
        <v>108</v>
      </c>
      <c r="C33" s="1" t="s">
        <v>143</v>
      </c>
      <c r="D33" s="1" t="s">
        <v>114</v>
      </c>
      <c r="E33" s="1" t="s">
        <v>13</v>
      </c>
      <c r="F33" s="14">
        <f t="shared" si="2"/>
        <v>610</v>
      </c>
      <c r="G33" s="14">
        <v>600</v>
      </c>
      <c r="H33" s="75">
        <v>10</v>
      </c>
      <c r="I33" s="75"/>
      <c r="J33" s="104"/>
    </row>
    <row r="34" spans="1:10" ht="49.5" customHeight="1">
      <c r="A34" s="81" t="s">
        <v>23</v>
      </c>
      <c r="B34" s="49" t="s">
        <v>124</v>
      </c>
      <c r="C34" s="1" t="s">
        <v>143</v>
      </c>
      <c r="D34" s="1" t="s">
        <v>119</v>
      </c>
      <c r="E34" s="1" t="s">
        <v>13</v>
      </c>
      <c r="F34" s="14">
        <f t="shared" si="2"/>
        <v>178473.899</v>
      </c>
      <c r="G34" s="14">
        <v>480</v>
      </c>
      <c r="H34" s="75"/>
      <c r="I34" s="75">
        <f>110720.572+1522.39</f>
        <v>112242.962</v>
      </c>
      <c r="J34" s="104">
        <f>43950.937-1200+23000</f>
        <v>65750.937</v>
      </c>
    </row>
    <row r="35" spans="1:15" ht="68.25" customHeight="1">
      <c r="A35" s="81" t="s">
        <v>24</v>
      </c>
      <c r="B35" s="49" t="s">
        <v>128</v>
      </c>
      <c r="C35" s="1" t="s">
        <v>143</v>
      </c>
      <c r="D35" s="1" t="s">
        <v>163</v>
      </c>
      <c r="E35" s="1" t="s">
        <v>13</v>
      </c>
      <c r="F35" s="14">
        <f t="shared" si="2"/>
        <v>1892.002</v>
      </c>
      <c r="G35" s="14"/>
      <c r="H35" s="75">
        <v>1269.367</v>
      </c>
      <c r="I35" s="75">
        <v>114</v>
      </c>
      <c r="J35" s="104">
        <v>508.635</v>
      </c>
      <c r="M35" s="91"/>
      <c r="O35" s="91"/>
    </row>
    <row r="36" spans="1:10" ht="76.5">
      <c r="A36" s="81" t="s">
        <v>25</v>
      </c>
      <c r="B36" s="49" t="s">
        <v>125</v>
      </c>
      <c r="C36" s="1" t="s">
        <v>143</v>
      </c>
      <c r="D36" s="1" t="s">
        <v>142</v>
      </c>
      <c r="E36" s="1" t="s">
        <v>13</v>
      </c>
      <c r="F36" s="14">
        <f t="shared" si="2"/>
        <v>0</v>
      </c>
      <c r="G36" s="14"/>
      <c r="H36" s="75"/>
      <c r="I36" s="75"/>
      <c r="J36" s="104"/>
    </row>
    <row r="37" spans="1:10" ht="68.25" customHeight="1">
      <c r="A37" s="81" t="s">
        <v>26</v>
      </c>
      <c r="B37" s="49" t="s">
        <v>55</v>
      </c>
      <c r="C37" s="1" t="s">
        <v>143</v>
      </c>
      <c r="D37" s="1" t="s">
        <v>142</v>
      </c>
      <c r="E37" s="1" t="s">
        <v>13</v>
      </c>
      <c r="F37" s="14">
        <f t="shared" si="2"/>
        <v>802</v>
      </c>
      <c r="G37" s="14"/>
      <c r="H37" s="75"/>
      <c r="I37" s="75"/>
      <c r="J37" s="104">
        <f>852-50</f>
        <v>802</v>
      </c>
    </row>
    <row r="38" spans="1:10" ht="65.25" customHeight="1">
      <c r="A38" s="81" t="s">
        <v>27</v>
      </c>
      <c r="B38" s="49" t="s">
        <v>57</v>
      </c>
      <c r="C38" s="1" t="s">
        <v>143</v>
      </c>
      <c r="D38" s="1" t="s">
        <v>142</v>
      </c>
      <c r="E38" s="1" t="s">
        <v>13</v>
      </c>
      <c r="F38" s="14">
        <f t="shared" si="2"/>
        <v>850</v>
      </c>
      <c r="G38" s="14"/>
      <c r="H38" s="75"/>
      <c r="I38" s="75"/>
      <c r="J38" s="104">
        <f>900-50</f>
        <v>850</v>
      </c>
    </row>
    <row r="39" spans="1:10" ht="41.25" customHeight="1">
      <c r="A39" s="81" t="s">
        <v>28</v>
      </c>
      <c r="B39" s="49" t="s">
        <v>127</v>
      </c>
      <c r="C39" s="1" t="s">
        <v>143</v>
      </c>
      <c r="D39" s="1" t="s">
        <v>142</v>
      </c>
      <c r="E39" s="1" t="s">
        <v>13</v>
      </c>
      <c r="F39" s="14">
        <f t="shared" si="2"/>
        <v>1555.359</v>
      </c>
      <c r="G39" s="14"/>
      <c r="H39" s="97"/>
      <c r="I39" s="75"/>
      <c r="J39" s="105">
        <f>1610.359-55</f>
        <v>1555.359</v>
      </c>
    </row>
    <row r="40" spans="1:15" ht="51.75" customHeight="1">
      <c r="A40" s="81" t="s">
        <v>29</v>
      </c>
      <c r="B40" s="74" t="s">
        <v>118</v>
      </c>
      <c r="C40" s="1" t="s">
        <v>143</v>
      </c>
      <c r="D40" s="1" t="s">
        <v>120</v>
      </c>
      <c r="E40" s="1" t="s">
        <v>13</v>
      </c>
      <c r="F40" s="14">
        <f t="shared" si="2"/>
        <v>295.12899999999996</v>
      </c>
      <c r="G40" s="14"/>
      <c r="H40" s="75"/>
      <c r="I40" s="75">
        <v>256.9</v>
      </c>
      <c r="J40" s="104">
        <f>123.229-85</f>
        <v>38.229</v>
      </c>
      <c r="M40" s="91"/>
      <c r="O40" s="91"/>
    </row>
    <row r="41" spans="1:15" ht="38.25">
      <c r="A41" s="81" t="s">
        <v>97</v>
      </c>
      <c r="B41" s="74" t="s">
        <v>140</v>
      </c>
      <c r="C41" s="1" t="s">
        <v>143</v>
      </c>
      <c r="D41" s="1" t="s">
        <v>120</v>
      </c>
      <c r="E41" s="1" t="s">
        <v>13</v>
      </c>
      <c r="F41" s="14">
        <f t="shared" si="2"/>
        <v>712.137</v>
      </c>
      <c r="G41" s="14"/>
      <c r="H41" s="75"/>
      <c r="I41" s="75">
        <f>142.137+270</f>
        <v>412.137</v>
      </c>
      <c r="J41" s="104">
        <f>1200-900</f>
        <v>300</v>
      </c>
      <c r="M41" s="91"/>
      <c r="O41" s="91"/>
    </row>
    <row r="42" spans="1:10" ht="78.75" customHeight="1">
      <c r="A42" s="81" t="s">
        <v>31</v>
      </c>
      <c r="B42" s="78" t="s">
        <v>101</v>
      </c>
      <c r="C42" s="1" t="s">
        <v>143</v>
      </c>
      <c r="D42" s="1" t="s">
        <v>120</v>
      </c>
      <c r="E42" s="1" t="s">
        <v>13</v>
      </c>
      <c r="F42" s="14">
        <f t="shared" si="2"/>
        <v>0</v>
      </c>
      <c r="G42" s="14"/>
      <c r="H42" s="75"/>
      <c r="I42" s="98"/>
      <c r="J42" s="14"/>
    </row>
    <row r="43" spans="1:10" ht="89.25">
      <c r="A43" s="81" t="s">
        <v>32</v>
      </c>
      <c r="B43" s="49" t="s">
        <v>107</v>
      </c>
      <c r="C43" s="1" t="s">
        <v>143</v>
      </c>
      <c r="D43" s="1" t="s">
        <v>120</v>
      </c>
      <c r="E43" s="1" t="s">
        <v>13</v>
      </c>
      <c r="F43" s="14">
        <f t="shared" si="2"/>
        <v>327</v>
      </c>
      <c r="G43" s="14">
        <v>297</v>
      </c>
      <c r="H43" s="75"/>
      <c r="I43" s="75">
        <v>30</v>
      </c>
      <c r="J43" s="14"/>
    </row>
    <row r="44" spans="1:10" ht="68.25" customHeight="1">
      <c r="A44" s="81" t="s">
        <v>33</v>
      </c>
      <c r="B44" s="49" t="s">
        <v>66</v>
      </c>
      <c r="C44" s="1" t="s">
        <v>143</v>
      </c>
      <c r="D44" s="80" t="s">
        <v>83</v>
      </c>
      <c r="E44" s="1" t="s">
        <v>13</v>
      </c>
      <c r="F44" s="14">
        <f t="shared" si="2"/>
        <v>34225.12</v>
      </c>
      <c r="G44" s="14">
        <v>27000</v>
      </c>
      <c r="H44" s="75">
        <v>7225.12</v>
      </c>
      <c r="I44" s="75"/>
      <c r="J44" s="14"/>
    </row>
    <row r="45" spans="1:10" ht="95.25" customHeight="1">
      <c r="A45" s="81" t="s">
        <v>34</v>
      </c>
      <c r="B45" s="49" t="s">
        <v>67</v>
      </c>
      <c r="C45" s="1" t="s">
        <v>143</v>
      </c>
      <c r="D45" s="1" t="s">
        <v>120</v>
      </c>
      <c r="E45" s="1" t="s">
        <v>13</v>
      </c>
      <c r="F45" s="14">
        <f t="shared" si="2"/>
        <v>8510.5</v>
      </c>
      <c r="G45" s="14">
        <v>4306</v>
      </c>
      <c r="H45" s="75">
        <f>2950.5+270</f>
        <v>3220.5</v>
      </c>
      <c r="I45" s="75">
        <f>885+99</f>
        <v>984</v>
      </c>
      <c r="J45" s="14"/>
    </row>
    <row r="46" spans="1:10" ht="54" customHeight="1">
      <c r="A46" s="81" t="s">
        <v>35</v>
      </c>
      <c r="B46" s="74" t="s">
        <v>164</v>
      </c>
      <c r="C46" s="1" t="s">
        <v>143</v>
      </c>
      <c r="D46" s="1" t="s">
        <v>165</v>
      </c>
      <c r="E46" s="1" t="s">
        <v>13</v>
      </c>
      <c r="F46" s="14">
        <f t="shared" si="2"/>
        <v>5962.42199</v>
      </c>
      <c r="G46" s="14"/>
      <c r="H46" s="75">
        <f>4000+55.42199</f>
        <v>4055.42199</v>
      </c>
      <c r="I46" s="75"/>
      <c r="J46" s="75">
        <v>1907</v>
      </c>
    </row>
    <row r="47" spans="1:15" ht="51.75" customHeight="1">
      <c r="A47" s="81" t="s">
        <v>36</v>
      </c>
      <c r="B47" s="74" t="s">
        <v>115</v>
      </c>
      <c r="C47" s="1" t="s">
        <v>143</v>
      </c>
      <c r="D47" s="1" t="s">
        <v>121</v>
      </c>
      <c r="E47" s="1" t="s">
        <v>13</v>
      </c>
      <c r="F47" s="14">
        <f t="shared" si="2"/>
        <v>195.55</v>
      </c>
      <c r="G47" s="14"/>
      <c r="H47" s="75"/>
      <c r="I47" s="75">
        <f>155.55+40</f>
        <v>195.55</v>
      </c>
      <c r="J47" s="75"/>
      <c r="M47" s="91"/>
      <c r="O47" s="91"/>
    </row>
    <row r="48" spans="1:16" ht="54.75" customHeight="1">
      <c r="A48" s="81" t="s">
        <v>37</v>
      </c>
      <c r="B48" s="74" t="s">
        <v>129</v>
      </c>
      <c r="C48" s="1" t="s">
        <v>143</v>
      </c>
      <c r="D48" s="1" t="s">
        <v>163</v>
      </c>
      <c r="E48" s="1" t="s">
        <v>13</v>
      </c>
      <c r="F48" s="14">
        <f t="shared" si="2"/>
        <v>1541.874</v>
      </c>
      <c r="G48" s="14"/>
      <c r="H48" s="75">
        <f>318.83792+331.16208</f>
        <v>650</v>
      </c>
      <c r="I48" s="75">
        <f>740</f>
        <v>740</v>
      </c>
      <c r="J48" s="75">
        <f>51.874+100</f>
        <v>151.874</v>
      </c>
      <c r="K48" s="67"/>
      <c r="L48" s="67"/>
      <c r="M48" s="99"/>
      <c r="N48" s="67"/>
      <c r="O48" s="99"/>
      <c r="P48" s="67"/>
    </row>
    <row r="49" spans="1:16" ht="54.75" customHeight="1">
      <c r="A49" s="81" t="s">
        <v>38</v>
      </c>
      <c r="B49" s="74" t="s">
        <v>139</v>
      </c>
      <c r="C49" s="1" t="s">
        <v>143</v>
      </c>
      <c r="D49" s="1" t="s">
        <v>163</v>
      </c>
      <c r="E49" s="1" t="s">
        <v>13</v>
      </c>
      <c r="F49" s="14">
        <f t="shared" si="2"/>
        <v>2167.19</v>
      </c>
      <c r="G49" s="14"/>
      <c r="H49" s="75">
        <f>507.719+92.281</f>
        <v>600</v>
      </c>
      <c r="I49" s="75">
        <f>650</f>
        <v>650</v>
      </c>
      <c r="J49" s="75">
        <v>917.19</v>
      </c>
      <c r="K49" s="67"/>
      <c r="L49" s="67"/>
      <c r="M49" s="99"/>
      <c r="N49" s="67"/>
      <c r="O49" s="99"/>
      <c r="P49" s="67"/>
    </row>
    <row r="50" spans="1:16" ht="82.5" customHeight="1">
      <c r="A50" s="81" t="s">
        <v>39</v>
      </c>
      <c r="B50" s="74" t="s">
        <v>123</v>
      </c>
      <c r="C50" s="1" t="s">
        <v>143</v>
      </c>
      <c r="D50" s="1" t="s">
        <v>166</v>
      </c>
      <c r="E50" s="1" t="s">
        <v>13</v>
      </c>
      <c r="F50" s="14">
        <f t="shared" si="2"/>
        <v>187</v>
      </c>
      <c r="G50" s="73"/>
      <c r="H50" s="76"/>
      <c r="I50" s="75">
        <f>137</f>
        <v>137</v>
      </c>
      <c r="J50" s="14">
        <f>2000-1950</f>
        <v>50</v>
      </c>
      <c r="K50" s="67"/>
      <c r="L50" s="67"/>
      <c r="M50" s="67"/>
      <c r="N50" s="67"/>
      <c r="O50" s="99"/>
      <c r="P50" s="67"/>
    </row>
    <row r="51" spans="1:16" ht="52.5" customHeight="1">
      <c r="A51" s="81" t="s">
        <v>40</v>
      </c>
      <c r="B51" s="78" t="s">
        <v>111</v>
      </c>
      <c r="C51" s="1" t="s">
        <v>143</v>
      </c>
      <c r="D51" s="1" t="s">
        <v>121</v>
      </c>
      <c r="E51" s="1" t="s">
        <v>13</v>
      </c>
      <c r="F51" s="14">
        <f t="shared" si="2"/>
        <v>54807.534999999996</v>
      </c>
      <c r="G51" s="73"/>
      <c r="H51" s="76"/>
      <c r="I51" s="75">
        <f>107.27</f>
        <v>107.27</v>
      </c>
      <c r="J51" s="14">
        <f>2318-850+20232.265+33000</f>
        <v>54700.265</v>
      </c>
      <c r="K51" s="67"/>
      <c r="L51" s="67"/>
      <c r="M51" s="100"/>
      <c r="N51" s="100"/>
      <c r="O51" s="99"/>
      <c r="P51" s="67"/>
    </row>
    <row r="52" spans="1:16" ht="88.5" customHeight="1">
      <c r="A52" s="81" t="s">
        <v>41</v>
      </c>
      <c r="B52" s="78" t="s">
        <v>126</v>
      </c>
      <c r="C52" s="1" t="s">
        <v>143</v>
      </c>
      <c r="D52" s="1" t="s">
        <v>142</v>
      </c>
      <c r="E52" s="1" t="s">
        <v>13</v>
      </c>
      <c r="F52" s="14">
        <f t="shared" si="2"/>
        <v>0</v>
      </c>
      <c r="G52" s="73"/>
      <c r="H52" s="76"/>
      <c r="I52" s="75"/>
      <c r="J52" s="14"/>
      <c r="K52" s="67"/>
      <c r="L52" s="67"/>
      <c r="M52" s="100"/>
      <c r="N52" s="100"/>
      <c r="O52" s="99"/>
      <c r="P52" s="67"/>
    </row>
    <row r="53" spans="1:16" ht="83.25" customHeight="1">
      <c r="A53" s="81" t="s">
        <v>42</v>
      </c>
      <c r="B53" s="78" t="s">
        <v>112</v>
      </c>
      <c r="C53" s="1" t="s">
        <v>143</v>
      </c>
      <c r="D53" s="1" t="s">
        <v>122</v>
      </c>
      <c r="E53" s="1" t="s">
        <v>13</v>
      </c>
      <c r="F53" s="14">
        <f t="shared" si="2"/>
        <v>0</v>
      </c>
      <c r="G53" s="73"/>
      <c r="H53" s="76"/>
      <c r="I53" s="75"/>
      <c r="J53" s="104"/>
      <c r="K53" s="67"/>
      <c r="L53" s="67"/>
      <c r="M53" s="100"/>
      <c r="N53" s="100"/>
      <c r="O53" s="99"/>
      <c r="P53" s="67"/>
    </row>
    <row r="54" spans="1:10" ht="51">
      <c r="A54" s="81" t="s">
        <v>43</v>
      </c>
      <c r="B54" s="74" t="s">
        <v>145</v>
      </c>
      <c r="C54" s="1" t="s">
        <v>143</v>
      </c>
      <c r="D54" s="1" t="s">
        <v>119</v>
      </c>
      <c r="E54" s="1" t="s">
        <v>13</v>
      </c>
      <c r="F54" s="14">
        <f t="shared" si="2"/>
        <v>2091</v>
      </c>
      <c r="G54" s="73"/>
      <c r="H54" s="76"/>
      <c r="I54" s="75"/>
      <c r="J54" s="104">
        <f>3100-1009</f>
        <v>2091</v>
      </c>
    </row>
    <row r="55" spans="1:10" ht="63.75">
      <c r="A55" s="81" t="s">
        <v>98</v>
      </c>
      <c r="B55" s="74" t="s">
        <v>144</v>
      </c>
      <c r="C55" s="1" t="s">
        <v>143</v>
      </c>
      <c r="D55" s="1" t="s">
        <v>167</v>
      </c>
      <c r="E55" s="1" t="s">
        <v>13</v>
      </c>
      <c r="F55" s="14">
        <f t="shared" si="2"/>
        <v>586</v>
      </c>
      <c r="G55" s="73"/>
      <c r="H55" s="76"/>
      <c r="I55" s="75"/>
      <c r="J55" s="104">
        <f>700-100-14</f>
        <v>586</v>
      </c>
    </row>
    <row r="56" spans="1:10" ht="120">
      <c r="A56" s="81" t="s">
        <v>99</v>
      </c>
      <c r="B56" s="95" t="s">
        <v>146</v>
      </c>
      <c r="C56" s="1" t="s">
        <v>143</v>
      </c>
      <c r="D56" s="1" t="s">
        <v>142</v>
      </c>
      <c r="E56" s="1" t="s">
        <v>13</v>
      </c>
      <c r="F56" s="14">
        <f t="shared" si="2"/>
        <v>170</v>
      </c>
      <c r="G56" s="73"/>
      <c r="H56" s="76"/>
      <c r="I56" s="75"/>
      <c r="J56" s="104">
        <f>550-200-180</f>
        <v>170</v>
      </c>
    </row>
    <row r="57" spans="1:10" ht="63.75">
      <c r="A57" s="81" t="s">
        <v>100</v>
      </c>
      <c r="B57" s="74" t="s">
        <v>147</v>
      </c>
      <c r="C57" s="1" t="s">
        <v>143</v>
      </c>
      <c r="D57" s="1" t="s">
        <v>142</v>
      </c>
      <c r="E57" s="1" t="s">
        <v>13</v>
      </c>
      <c r="F57" s="14">
        <f t="shared" si="2"/>
        <v>1200.0000000000002</v>
      </c>
      <c r="G57" s="73"/>
      <c r="H57" s="76"/>
      <c r="I57" s="75"/>
      <c r="J57" s="104">
        <f>3109.76-1909.76</f>
        <v>1200.0000000000002</v>
      </c>
    </row>
    <row r="58" spans="1:10" ht="89.25">
      <c r="A58" s="81" t="s">
        <v>116</v>
      </c>
      <c r="B58" s="74" t="s">
        <v>148</v>
      </c>
      <c r="C58" s="1" t="s">
        <v>143</v>
      </c>
      <c r="D58" s="1" t="s">
        <v>114</v>
      </c>
      <c r="E58" s="1" t="s">
        <v>13</v>
      </c>
      <c r="F58" s="14">
        <f t="shared" si="2"/>
        <v>1955.09</v>
      </c>
      <c r="G58" s="73"/>
      <c r="H58" s="76"/>
      <c r="I58" s="75"/>
      <c r="J58" s="104">
        <f>3275.54+150-1470.45</f>
        <v>1955.09</v>
      </c>
    </row>
    <row r="59" spans="1:10" ht="38.25">
      <c r="A59" s="81" t="s">
        <v>117</v>
      </c>
      <c r="B59" s="74" t="s">
        <v>149</v>
      </c>
      <c r="C59" s="1" t="s">
        <v>143</v>
      </c>
      <c r="D59" s="80" t="s">
        <v>142</v>
      </c>
      <c r="E59" s="1" t="s">
        <v>13</v>
      </c>
      <c r="F59" s="14">
        <f t="shared" si="2"/>
        <v>171.26</v>
      </c>
      <c r="G59" s="73"/>
      <c r="H59" s="76"/>
      <c r="I59" s="75"/>
      <c r="J59" s="104">
        <v>171.26</v>
      </c>
    </row>
    <row r="60" spans="1:10" ht="38.25">
      <c r="A60" s="81" t="s">
        <v>131</v>
      </c>
      <c r="B60" s="74" t="s">
        <v>150</v>
      </c>
      <c r="C60" s="1" t="s">
        <v>143</v>
      </c>
      <c r="D60" s="80" t="s">
        <v>142</v>
      </c>
      <c r="E60" s="1" t="s">
        <v>13</v>
      </c>
      <c r="F60" s="14">
        <f t="shared" si="2"/>
        <v>0</v>
      </c>
      <c r="G60" s="73"/>
      <c r="H60" s="76"/>
      <c r="I60" s="75"/>
      <c r="J60" s="104"/>
    </row>
    <row r="61" spans="1:10" ht="38.25">
      <c r="A61" s="81" t="s">
        <v>132</v>
      </c>
      <c r="B61" s="74" t="s">
        <v>151</v>
      </c>
      <c r="C61" s="1" t="s">
        <v>143</v>
      </c>
      <c r="D61" s="1" t="s">
        <v>142</v>
      </c>
      <c r="E61" s="1" t="s">
        <v>13</v>
      </c>
      <c r="F61" s="14">
        <f t="shared" si="2"/>
        <v>450</v>
      </c>
      <c r="G61" s="73"/>
      <c r="H61" s="76"/>
      <c r="I61" s="75"/>
      <c r="J61" s="104">
        <f>500-50</f>
        <v>450</v>
      </c>
    </row>
    <row r="62" spans="1:10" ht="38.25">
      <c r="A62" s="81" t="s">
        <v>133</v>
      </c>
      <c r="B62" s="74" t="s">
        <v>152</v>
      </c>
      <c r="C62" s="1" t="s">
        <v>143</v>
      </c>
      <c r="D62" s="1" t="s">
        <v>142</v>
      </c>
      <c r="E62" s="1" t="s">
        <v>13</v>
      </c>
      <c r="F62" s="14">
        <f t="shared" si="2"/>
        <v>410</v>
      </c>
      <c r="G62" s="73"/>
      <c r="H62" s="76"/>
      <c r="I62" s="75"/>
      <c r="J62" s="104">
        <f>650-240</f>
        <v>410</v>
      </c>
    </row>
    <row r="63" spans="1:10" ht="63.75">
      <c r="A63" s="81" t="s">
        <v>134</v>
      </c>
      <c r="B63" s="74" t="s">
        <v>153</v>
      </c>
      <c r="C63" s="1" t="s">
        <v>143</v>
      </c>
      <c r="D63" s="1" t="s">
        <v>142</v>
      </c>
      <c r="E63" s="1" t="s">
        <v>13</v>
      </c>
      <c r="F63" s="14">
        <f t="shared" si="2"/>
        <v>450</v>
      </c>
      <c r="G63" s="73"/>
      <c r="H63" s="76"/>
      <c r="I63" s="75"/>
      <c r="J63" s="104">
        <f>2400-1950</f>
        <v>450</v>
      </c>
    </row>
    <row r="64" spans="1:10" ht="51">
      <c r="A64" s="81" t="s">
        <v>135</v>
      </c>
      <c r="B64" s="74" t="s">
        <v>154</v>
      </c>
      <c r="C64" s="1" t="s">
        <v>143</v>
      </c>
      <c r="D64" s="1" t="s">
        <v>142</v>
      </c>
      <c r="E64" s="1" t="s">
        <v>13</v>
      </c>
      <c r="F64" s="14">
        <f t="shared" si="2"/>
        <v>160</v>
      </c>
      <c r="G64" s="73"/>
      <c r="H64" s="76"/>
      <c r="I64" s="75"/>
      <c r="J64" s="104">
        <f>200-40</f>
        <v>160</v>
      </c>
    </row>
    <row r="65" spans="1:10" ht="38.25">
      <c r="A65" s="81" t="s">
        <v>136</v>
      </c>
      <c r="B65" s="74" t="s">
        <v>155</v>
      </c>
      <c r="C65" s="1" t="s">
        <v>143</v>
      </c>
      <c r="D65" s="1" t="s">
        <v>119</v>
      </c>
      <c r="E65" s="1" t="s">
        <v>13</v>
      </c>
      <c r="F65" s="14">
        <f t="shared" si="2"/>
        <v>140</v>
      </c>
      <c r="G65" s="73"/>
      <c r="H65" s="76"/>
      <c r="I65" s="75"/>
      <c r="J65" s="104">
        <f>1060-920</f>
        <v>140</v>
      </c>
    </row>
    <row r="66" spans="1:10" ht="51">
      <c r="A66" s="81" t="s">
        <v>137</v>
      </c>
      <c r="B66" s="74" t="s">
        <v>156</v>
      </c>
      <c r="C66" s="1" t="s">
        <v>143</v>
      </c>
      <c r="D66" s="1" t="s">
        <v>142</v>
      </c>
      <c r="E66" s="1" t="s">
        <v>13</v>
      </c>
      <c r="F66" s="14">
        <f t="shared" si="2"/>
        <v>520</v>
      </c>
      <c r="G66" s="73"/>
      <c r="H66" s="76"/>
      <c r="I66" s="75"/>
      <c r="J66" s="104">
        <f>550-30</f>
        <v>520</v>
      </c>
    </row>
    <row r="67" spans="1:10" ht="42.75" customHeight="1">
      <c r="A67" s="81" t="s">
        <v>157</v>
      </c>
      <c r="B67" s="95" t="s">
        <v>183</v>
      </c>
      <c r="C67" s="1" t="s">
        <v>143</v>
      </c>
      <c r="D67" s="80" t="s">
        <v>175</v>
      </c>
      <c r="E67" s="1" t="s">
        <v>13</v>
      </c>
      <c r="F67" s="14">
        <f>G67+H67+I67+J67</f>
        <v>48.981</v>
      </c>
      <c r="G67" s="73"/>
      <c r="H67" s="76"/>
      <c r="I67" s="75"/>
      <c r="J67" s="104">
        <v>48.981</v>
      </c>
    </row>
    <row r="68" spans="1:10" ht="47.25" customHeight="1">
      <c r="A68" s="81" t="s">
        <v>158</v>
      </c>
      <c r="B68" s="96" t="s">
        <v>161</v>
      </c>
      <c r="C68" s="1" t="s">
        <v>143</v>
      </c>
      <c r="D68" s="80" t="s">
        <v>142</v>
      </c>
      <c r="E68" s="1" t="s">
        <v>13</v>
      </c>
      <c r="F68" s="14">
        <f t="shared" si="2"/>
        <v>100</v>
      </c>
      <c r="G68" s="73"/>
      <c r="H68" s="76"/>
      <c r="I68" s="75"/>
      <c r="J68" s="104">
        <v>100</v>
      </c>
    </row>
    <row r="69" spans="1:10" ht="176.25" customHeight="1">
      <c r="A69" s="81" t="s">
        <v>159</v>
      </c>
      <c r="B69" s="74" t="s">
        <v>184</v>
      </c>
      <c r="C69" s="1" t="s">
        <v>143</v>
      </c>
      <c r="D69" s="80" t="s">
        <v>175</v>
      </c>
      <c r="E69" s="1" t="s">
        <v>13</v>
      </c>
      <c r="F69" s="14">
        <f t="shared" si="2"/>
        <v>50</v>
      </c>
      <c r="G69" s="73"/>
      <c r="H69" s="76"/>
      <c r="I69" s="75"/>
      <c r="J69" s="104">
        <f>300-250</f>
        <v>50</v>
      </c>
    </row>
    <row r="70" spans="1:10" ht="58.5" customHeight="1">
      <c r="A70" s="81" t="s">
        <v>160</v>
      </c>
      <c r="B70" s="74" t="s">
        <v>185</v>
      </c>
      <c r="C70" s="1" t="s">
        <v>143</v>
      </c>
      <c r="D70" s="80" t="s">
        <v>175</v>
      </c>
      <c r="E70" s="1" t="s">
        <v>13</v>
      </c>
      <c r="F70" s="14">
        <f t="shared" si="2"/>
        <v>800</v>
      </c>
      <c r="G70" s="73"/>
      <c r="H70" s="76"/>
      <c r="I70" s="75"/>
      <c r="J70" s="104">
        <f>1000-200</f>
        <v>800</v>
      </c>
    </row>
    <row r="71" spans="1:10" ht="61.5" customHeight="1">
      <c r="A71" s="81" t="s">
        <v>190</v>
      </c>
      <c r="B71" s="74" t="s">
        <v>186</v>
      </c>
      <c r="C71" s="1" t="s">
        <v>143</v>
      </c>
      <c r="D71" s="80" t="s">
        <v>175</v>
      </c>
      <c r="E71" s="1" t="s">
        <v>13</v>
      </c>
      <c r="F71" s="14">
        <f t="shared" si="2"/>
        <v>607</v>
      </c>
      <c r="G71" s="73"/>
      <c r="H71" s="76"/>
      <c r="I71" s="75"/>
      <c r="J71" s="104">
        <f>1000-393</f>
        <v>607</v>
      </c>
    </row>
    <row r="72" spans="1:10" ht="59.25" customHeight="1">
      <c r="A72" s="81" t="s">
        <v>191</v>
      </c>
      <c r="B72" s="74" t="s">
        <v>187</v>
      </c>
      <c r="C72" s="1" t="s">
        <v>143</v>
      </c>
      <c r="D72" s="80" t="s">
        <v>175</v>
      </c>
      <c r="E72" s="1" t="s">
        <v>13</v>
      </c>
      <c r="F72" s="14">
        <f t="shared" si="2"/>
        <v>800</v>
      </c>
      <c r="G72" s="73"/>
      <c r="H72" s="76"/>
      <c r="I72" s="75"/>
      <c r="J72" s="104">
        <f>1000-200</f>
        <v>800</v>
      </c>
    </row>
    <row r="73" spans="1:10" ht="54.75" customHeight="1">
      <c r="A73" s="81" t="s">
        <v>192</v>
      </c>
      <c r="B73" s="74" t="s">
        <v>188</v>
      </c>
      <c r="C73" s="1" t="s">
        <v>143</v>
      </c>
      <c r="D73" s="80" t="s">
        <v>175</v>
      </c>
      <c r="E73" s="1" t="s">
        <v>13</v>
      </c>
      <c r="F73" s="14">
        <f t="shared" si="2"/>
        <v>607</v>
      </c>
      <c r="G73" s="73"/>
      <c r="H73" s="76"/>
      <c r="I73" s="75"/>
      <c r="J73" s="104">
        <f>1000-393</f>
        <v>607</v>
      </c>
    </row>
    <row r="74" spans="1:10" ht="69.75" customHeight="1">
      <c r="A74" s="81" t="s">
        <v>193</v>
      </c>
      <c r="B74" s="103" t="s">
        <v>189</v>
      </c>
      <c r="C74" s="1" t="s">
        <v>143</v>
      </c>
      <c r="D74" s="80" t="s">
        <v>175</v>
      </c>
      <c r="E74" s="1" t="s">
        <v>13</v>
      </c>
      <c r="F74" s="14">
        <f t="shared" si="2"/>
        <v>100</v>
      </c>
      <c r="G74" s="73"/>
      <c r="H74" s="76"/>
      <c r="I74" s="75"/>
      <c r="J74" s="14">
        <f>800-700</f>
        <v>100</v>
      </c>
    </row>
    <row r="75" spans="1:10" ht="90.75" customHeight="1">
      <c r="A75" s="81" t="s">
        <v>194</v>
      </c>
      <c r="B75" s="95" t="s">
        <v>172</v>
      </c>
      <c r="C75" s="1" t="s">
        <v>176</v>
      </c>
      <c r="D75" s="80" t="s">
        <v>175</v>
      </c>
      <c r="E75" s="1" t="s">
        <v>13</v>
      </c>
      <c r="F75" s="14">
        <f>G75+H75+I75+J75</f>
        <v>85</v>
      </c>
      <c r="G75" s="73"/>
      <c r="H75" s="76"/>
      <c r="I75" s="75"/>
      <c r="J75" s="14">
        <v>85</v>
      </c>
    </row>
    <row r="76" spans="1:10" ht="77.25" customHeight="1">
      <c r="A76" s="81" t="s">
        <v>195</v>
      </c>
      <c r="B76" s="95" t="s">
        <v>173</v>
      </c>
      <c r="C76" s="1" t="s">
        <v>176</v>
      </c>
      <c r="D76" s="80" t="s">
        <v>175</v>
      </c>
      <c r="E76" s="1" t="s">
        <v>13</v>
      </c>
      <c r="F76" s="14">
        <f>G76+H76+I76+J76</f>
        <v>47.5</v>
      </c>
      <c r="G76" s="73"/>
      <c r="H76" s="76"/>
      <c r="I76" s="75"/>
      <c r="J76" s="14">
        <v>47.5</v>
      </c>
    </row>
    <row r="77" spans="1:10" ht="99.75" customHeight="1">
      <c r="A77" s="81" t="s">
        <v>196</v>
      </c>
      <c r="B77" s="95" t="s">
        <v>174</v>
      </c>
      <c r="C77" s="1" t="s">
        <v>176</v>
      </c>
      <c r="D77" s="80" t="s">
        <v>175</v>
      </c>
      <c r="E77" s="1" t="s">
        <v>13</v>
      </c>
      <c r="F77" s="14">
        <f>G77+H77+I77+J77</f>
        <v>37.5</v>
      </c>
      <c r="G77" s="73"/>
      <c r="H77" s="76"/>
      <c r="I77" s="75"/>
      <c r="J77" s="14">
        <v>37.5</v>
      </c>
    </row>
    <row r="78" spans="1:10" ht="12.75">
      <c r="A78" s="81"/>
      <c r="B78" s="106" t="s">
        <v>177</v>
      </c>
      <c r="C78" s="106"/>
      <c r="D78" s="106"/>
      <c r="E78" s="106"/>
      <c r="F78" s="76">
        <f>SUM(F30:F77)</f>
        <v>305843.44454000005</v>
      </c>
      <c r="G78" s="76">
        <f>SUM(G30:G77)</f>
        <v>32792</v>
      </c>
      <c r="H78" s="76">
        <f>SUM(H30:H77)</f>
        <v>17050.19154</v>
      </c>
      <c r="I78" s="76">
        <f>SUM(I30:I77)</f>
        <v>116373.433</v>
      </c>
      <c r="J78" s="76">
        <f>SUM(J30:J77)</f>
        <v>139627.82</v>
      </c>
    </row>
    <row r="79" spans="1:10" ht="12.75">
      <c r="A79" s="80"/>
      <c r="B79" s="106" t="s">
        <v>70</v>
      </c>
      <c r="C79" s="106"/>
      <c r="D79" s="106"/>
      <c r="E79" s="106"/>
      <c r="F79" s="76">
        <f>F27+F78</f>
        <v>398731.75254</v>
      </c>
      <c r="G79" s="76">
        <f>G27+G78</f>
        <v>33022</v>
      </c>
      <c r="H79" s="76">
        <f>H27+H78</f>
        <v>25240.69154</v>
      </c>
      <c r="I79" s="76">
        <f>I27+I78</f>
        <v>128846.587</v>
      </c>
      <c r="J79" s="76">
        <f>J27+J78</f>
        <v>211622.47400000002</v>
      </c>
    </row>
    <row r="80" ht="12.75">
      <c r="F80" s="91"/>
    </row>
    <row r="81" ht="12.75">
      <c r="F81" s="91"/>
    </row>
    <row r="82" ht="12.75">
      <c r="F82" s="91"/>
    </row>
  </sheetData>
  <sheetProtection/>
  <mergeCells count="17">
    <mergeCell ref="B79:E79"/>
    <mergeCell ref="F9:F10"/>
    <mergeCell ref="G9:J9"/>
    <mergeCell ref="A12:J12"/>
    <mergeCell ref="B27:E27"/>
    <mergeCell ref="A29:J29"/>
    <mergeCell ref="B78:E78"/>
    <mergeCell ref="H2:J2"/>
    <mergeCell ref="H3:J3"/>
    <mergeCell ref="H4:J4"/>
    <mergeCell ref="A6:J6"/>
    <mergeCell ref="A8:A10"/>
    <mergeCell ref="B8:B10"/>
    <mergeCell ref="C8:C10"/>
    <mergeCell ref="D8:D10"/>
    <mergeCell ref="E8:J8"/>
    <mergeCell ref="E9:E10"/>
  </mergeCells>
  <printOptions horizontalCentered="1"/>
  <pageMargins left="0.07874015748031496" right="0" top="0.3937007874015748" bottom="0.3937007874015748" header="0.5118110236220472" footer="0.1968503937007874"/>
  <pageSetup fitToHeight="2" fitToWidth="0" horizontalDpi="600" verticalDpi="600" orientation="portrait" paperSize="9" scale="80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2012-12-11T02:55:38Z</cp:lastPrinted>
  <dcterms:created xsi:type="dcterms:W3CDTF">1996-10-08T23:32:33Z</dcterms:created>
  <dcterms:modified xsi:type="dcterms:W3CDTF">2012-12-17T08:19:44Z</dcterms:modified>
  <cp:category/>
  <cp:version/>
  <cp:contentType/>
  <cp:contentStatus/>
</cp:coreProperties>
</file>