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приложение №2" sheetId="1" r:id="rId1"/>
    <sheet name="приложение №4" sheetId="2" r:id="rId2"/>
    <sheet name="Лист1" sheetId="3" r:id="rId3"/>
  </sheets>
  <definedNames>
    <definedName name="_xlnm.Print_Titles" localSheetId="0">'приложение №2'!$5:$6</definedName>
    <definedName name="_xlnm.Print_Titles" localSheetId="1">'приложение №4'!$7:$7</definedName>
    <definedName name="_xlnm.Print_Area" localSheetId="0">'приложение №2'!$A$1:$Q$97</definedName>
  </definedNames>
  <calcPr fullCalcOnLoad="1"/>
</workbook>
</file>

<file path=xl/sharedStrings.xml><?xml version="1.0" encoding="utf-8"?>
<sst xmlns="http://schemas.openxmlformats.org/spreadsheetml/2006/main" count="1573" uniqueCount="538">
  <si>
    <t>№ п/п</t>
  </si>
  <si>
    <t>Ед.изм.</t>
  </si>
  <si>
    <t>Индикаторы расчета целевых показателей муниципальной программы</t>
  </si>
  <si>
    <t>Общие сведения</t>
  </si>
  <si>
    <t>Годы, (n)</t>
  </si>
  <si>
    <t xml:space="preserve">кВтч      </t>
  </si>
  <si>
    <t xml:space="preserve">Объем ЭЭ, потребляемой (используемой) в жилых домах (за исключением многоквартирных домов) на территории МО            
</t>
  </si>
  <si>
    <t xml:space="preserve">Объем ЭЭ, потребляемой (используемой) в жилых домах (за исключением многоквартирных домов) на территории МО, расчеты за которую осуществляются с использованием приборов учета     
</t>
  </si>
  <si>
    <t xml:space="preserve">Объем ЭЭ, потребляемой (используемой) в многоквартирных домах на территории МО            
</t>
  </si>
  <si>
    <t xml:space="preserve">Объем ЭЭ, потребляемой (используемой) в многоквартирных домах на территории МО, расчеты за которую осуществляются с использованием коллективных (общедомовых) приборов учета      
</t>
  </si>
  <si>
    <t xml:space="preserve">Объем ЭЭ, потребляемой (используемой) в многоквартирных домах на территории МО, расчеты за которую осуществляется с использованием индивидуальных и общих (для коммунальной квартиры) приборов учета                    
</t>
  </si>
  <si>
    <t xml:space="preserve">Объем ТЭ, потребляемой (используемой) в жилых домах на территории МО                     
</t>
  </si>
  <si>
    <t xml:space="preserve">Объем ТЭ, потребляемой (используемой) в жилых домах на территории МО, расчеты за которую осуществляются с использованием приборов учета                    
</t>
  </si>
  <si>
    <t xml:space="preserve">Объем ТЭ, потребляемой (используемой) в многоквартирных домах на территории МО            
</t>
  </si>
  <si>
    <t xml:space="preserve">Объем ТЭ, потребляемой (используемой) в многоквартирных домах на территории МО, расчеты за которую осуществляются с использованием коллективных (общедомовых) приборов учета      
</t>
  </si>
  <si>
    <t xml:space="preserve">Объем воды, потребляемой (используемой) в жилых домах (за исключением многоквартирных домов) на территории МО           
</t>
  </si>
  <si>
    <t xml:space="preserve">Объем воды, потребляемой (используемой) в жилых домах (за исключением многоквартирных домов) на территории МО, расчеты за которую осуществляются с использованием приборов учета     
</t>
  </si>
  <si>
    <t xml:space="preserve">Объем воды, потребляемой (используемой) в многоквартирных домах на территории МО            
</t>
  </si>
  <si>
    <t xml:space="preserve">Объем воды, потребляемой (используемой) в многоквартирных домах на территории МО, расчеты за которую осуществляются с использованием коллективных (общедомовых) приборов учета      
</t>
  </si>
  <si>
    <t xml:space="preserve">Объем воды, потребляемой (используемой) в многоквартирных домах на территории МО, расчеты за которую осуществляются с использованием индивидуальных и общих (для коммунальной квартиры) приборов учета                    
</t>
  </si>
  <si>
    <t xml:space="preserve">Объем природного газа, потребляемого (используемого) в жилых домах (за исключением многоквартирных домов) МО         
</t>
  </si>
  <si>
    <t xml:space="preserve">Объем природного газа, потребляемого (используемого) в жилых домах (за исключением многоквартирных домов) на территории МО, расчеты за который осуществляются с использованием приборов учета                    
</t>
  </si>
  <si>
    <t xml:space="preserve">Объем природного газа, потребляемого (используемого) в многоквартирных домах на территории МО                     
</t>
  </si>
  <si>
    <t xml:space="preserve">Объем природного газа, потребляемого (используемого) в многоквартирных домах на территории МО, расчеты за который осуществляются с использованием индивидуальных и общих (для коммунальной квартиры) приборов учета                             
</t>
  </si>
  <si>
    <t xml:space="preserve">Площадь жилых домов на территории МО, где расчеты за ТЭ осуществляются с использованием приборов учета (в части многоквартирных домов - с использованием коллективных (общедомовых) приборов учета)     
</t>
  </si>
  <si>
    <t xml:space="preserve">Площадь жилых домов на территории МО, где расчеты за ТЭ осуществляются с применением расчетных способов (кроме нормативов потребления)           
</t>
  </si>
  <si>
    <t xml:space="preserve">Площадь жилых домов, где расчеты за воду осуществляют с применением расчетных способов (кроме нормативов потребления)    
</t>
  </si>
  <si>
    <t xml:space="preserve">Площадь жилых домов на территории МО, где расчеты за ЭЭ осуществляются с использованием приборов учета (в части многоквартирных домов - с использованием коллективных (общедомовых) приборов учета)     
</t>
  </si>
  <si>
    <t xml:space="preserve">Площадь жилых домов на территории МО, где расчеты за ЭЭ осуществляют с применением расчетных способов (кроме нормативов потребления)    
</t>
  </si>
  <si>
    <t xml:space="preserve">Площадь жилых домов на территории МО, где расчеты за природный газ осуществляются с использованием приборов учета (в части многоквартирных домов - с использованием индивидуальных и общих (для коммунальной квартиры) приборов учета                    
</t>
  </si>
  <si>
    <t xml:space="preserve">Площадь жилых домов на территории МО, где за природный газ осуществляются с применением расчетных способов (кроме нормативов потребления)           
</t>
  </si>
  <si>
    <t>Гкал</t>
  </si>
  <si>
    <t>куб.м.</t>
  </si>
  <si>
    <t>тыс.куб.м.</t>
  </si>
  <si>
    <t>кв.м.</t>
  </si>
  <si>
    <t>п1</t>
  </si>
  <si>
    <t>п2</t>
  </si>
  <si>
    <t>п3</t>
  </si>
  <si>
    <t>п4</t>
  </si>
  <si>
    <t>п5</t>
  </si>
  <si>
    <t>п6</t>
  </si>
  <si>
    <t>п7</t>
  </si>
  <si>
    <t>п8</t>
  </si>
  <si>
    <t>п9</t>
  </si>
  <si>
    <t>п10</t>
  </si>
  <si>
    <t>п11</t>
  </si>
  <si>
    <t>п12</t>
  </si>
  <si>
    <t>п13</t>
  </si>
  <si>
    <t>п14</t>
  </si>
  <si>
    <t>п15</t>
  </si>
  <si>
    <t>п16</t>
  </si>
  <si>
    <t>п17</t>
  </si>
  <si>
    <t>п18</t>
  </si>
  <si>
    <t>п19</t>
  </si>
  <si>
    <t>п20</t>
  </si>
  <si>
    <t>п21</t>
  </si>
  <si>
    <t>п22</t>
  </si>
  <si>
    <t>п23</t>
  </si>
  <si>
    <t>п24</t>
  </si>
  <si>
    <t>п25</t>
  </si>
  <si>
    <t>п26</t>
  </si>
  <si>
    <t>Среденевзвешенный тариф на воду по МО</t>
  </si>
  <si>
    <t xml:space="preserve">руб./Гкал     </t>
  </si>
  <si>
    <t xml:space="preserve">руб./куб.м.  </t>
  </si>
  <si>
    <t xml:space="preserve">руб./кВт*ч      </t>
  </si>
  <si>
    <t>Расходы бюджета МО на предоставление социальной поддержки гражданам по оплате жилого помещения и коммунальных услуг</t>
  </si>
  <si>
    <t>тыс.руб.</t>
  </si>
  <si>
    <t>Количество граждан, которым предоставляются социальная поддержка по оплате жилого помещения и коммунальных услуг</t>
  </si>
  <si>
    <t>чел.</t>
  </si>
  <si>
    <t>Средневзвешенный тариф на природный газ по МО</t>
  </si>
  <si>
    <t>руб./тыс.куб.м.</t>
  </si>
  <si>
    <t>Муниципальный продукт</t>
  </si>
  <si>
    <t>млрд.руб.</t>
  </si>
  <si>
    <t>Потребеление топливно-энергетических ресурсов (далее) ТЭР муниципальным образованием (далее МО)</t>
  </si>
  <si>
    <t>тыс.т.у.т.</t>
  </si>
  <si>
    <t>Объем потребления электрической энергии (далее - ЭЭ) МО</t>
  </si>
  <si>
    <t>тыс.кВт*час</t>
  </si>
  <si>
    <t>Объем потребления тепловой энергии (далее - ТЭ) МО</t>
  </si>
  <si>
    <t>тыс.Гкал</t>
  </si>
  <si>
    <t>Объем потребления воды МО</t>
  </si>
  <si>
    <t>Объем потребления природного газа МО</t>
  </si>
  <si>
    <t>Объем потребления ЭЭ, расчеты за которую осуществляются с использованием приборов учета</t>
  </si>
  <si>
    <t>Объем потребления ТЭ, расчеты за которую осуществляются с использованием приборов учета</t>
  </si>
  <si>
    <t>Объем потребления воды, расчеты за которую осуществляются с использованием приборов учета</t>
  </si>
  <si>
    <t>Средневзвешенный тариф на ЭЭ по МО</t>
  </si>
  <si>
    <t>Среденевзвешенный тариф на ТЭ по МО</t>
  </si>
  <si>
    <t>Объем производства энергетических ресурсов с использованием возобновляемых источников энергии и/или вторичных энергетических ресурсов</t>
  </si>
  <si>
    <t>т.у.т.</t>
  </si>
  <si>
    <t>п27</t>
  </si>
  <si>
    <t>п28</t>
  </si>
  <si>
    <t>п29</t>
  </si>
  <si>
    <t>п30</t>
  </si>
  <si>
    <t>п31</t>
  </si>
  <si>
    <t>п32</t>
  </si>
  <si>
    <t>п33</t>
  </si>
  <si>
    <t>п34</t>
  </si>
  <si>
    <t>п35</t>
  </si>
  <si>
    <t>п36</t>
  </si>
  <si>
    <t>п37</t>
  </si>
  <si>
    <t>п38</t>
  </si>
  <si>
    <t>п39</t>
  </si>
  <si>
    <t>п40</t>
  </si>
  <si>
    <t>п41</t>
  </si>
  <si>
    <t>п42</t>
  </si>
  <si>
    <t>п43</t>
  </si>
  <si>
    <t>п44</t>
  </si>
  <si>
    <t>п45</t>
  </si>
  <si>
    <t>п46</t>
  </si>
  <si>
    <t>п47</t>
  </si>
  <si>
    <t>п48</t>
  </si>
  <si>
    <t>п49</t>
  </si>
  <si>
    <t>п50</t>
  </si>
  <si>
    <t>п51</t>
  </si>
  <si>
    <t>п52</t>
  </si>
  <si>
    <t>п53</t>
  </si>
  <si>
    <t>п54</t>
  </si>
  <si>
    <t>п55</t>
  </si>
  <si>
    <t>п56</t>
  </si>
  <si>
    <t>п57</t>
  </si>
  <si>
    <t>п58</t>
  </si>
  <si>
    <t>п59</t>
  </si>
  <si>
    <t>п60</t>
  </si>
  <si>
    <t>п61</t>
  </si>
  <si>
    <t>п62</t>
  </si>
  <si>
    <t>п63</t>
  </si>
  <si>
    <t>п64</t>
  </si>
  <si>
    <t>п65</t>
  </si>
  <si>
    <t>п66</t>
  </si>
  <si>
    <t>п67</t>
  </si>
  <si>
    <t>п68</t>
  </si>
  <si>
    <t>п69</t>
  </si>
  <si>
    <t>п70</t>
  </si>
  <si>
    <t>Число жилых домов на территории МО</t>
  </si>
  <si>
    <t>ед.</t>
  </si>
  <si>
    <t>Число жилых домов на территории МО, в отношении которых проведено энергетическое обследование</t>
  </si>
  <si>
    <t>п71</t>
  </si>
  <si>
    <t>п72</t>
  </si>
  <si>
    <t>п73</t>
  </si>
  <si>
    <t>п74</t>
  </si>
  <si>
    <t>п75</t>
  </si>
  <si>
    <t>п76</t>
  </si>
  <si>
    <t>п77</t>
  </si>
  <si>
    <t>п78</t>
  </si>
  <si>
    <t>п79</t>
  </si>
  <si>
    <t>п80</t>
  </si>
  <si>
    <t>Удельный расход топлива на выработку ТЭ</t>
  </si>
  <si>
    <t>Удельный расход топлива на выработку ЭЭ тепловыми электростанциями</t>
  </si>
  <si>
    <t>Объем потерь ЭЭ при ее передаче по распределительным сетям</t>
  </si>
  <si>
    <t>Объем потерь ТЭ при ее  передаче</t>
  </si>
  <si>
    <t>Объем потерь воды при ее  передаче</t>
  </si>
  <si>
    <t>Объем ЭЭ, используемой при передаче (транспортировке) воды</t>
  </si>
  <si>
    <t>Количество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 на территории МО</t>
  </si>
  <si>
    <t>Количество общественного транспорта на территории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</t>
  </si>
  <si>
    <t>кВт*час</t>
  </si>
  <si>
    <t>т.у.т./Гкал</t>
  </si>
  <si>
    <t>т.у.т./кВт*час</t>
  </si>
  <si>
    <t xml:space="preserve">т.у.т.     </t>
  </si>
  <si>
    <t>млрд. руб</t>
  </si>
  <si>
    <t xml:space="preserve">Гкал      </t>
  </si>
  <si>
    <t xml:space="preserve">кв. м     </t>
  </si>
  <si>
    <t xml:space="preserve">Гкал  </t>
  </si>
  <si>
    <t xml:space="preserve">куб. м     </t>
  </si>
  <si>
    <t xml:space="preserve">чел.      </t>
  </si>
  <si>
    <t xml:space="preserve">тыс. куб. м  </t>
  </si>
  <si>
    <t xml:space="preserve">Бюджет МО                         </t>
  </si>
  <si>
    <t xml:space="preserve">тыс. руб.   </t>
  </si>
  <si>
    <t xml:space="preserve">ед.      </t>
  </si>
  <si>
    <t xml:space="preserve">Общий объем энергетических ресурсов, производимых на территории МО                     
</t>
  </si>
  <si>
    <t xml:space="preserve">Общий объем финансирования мероприятий по энергосбережению и повышению энергетической эффективности                     
</t>
  </si>
  <si>
    <t xml:space="preserve">Объем внебюджетных средств, используемых для финансирования мероприятий по энергосбережению и повышению энергетической эффективности                     
</t>
  </si>
  <si>
    <t xml:space="preserve">Расход ТЭ бюджетным учреждением (далее - БУ), расчеты за которую осуществляются с использованием приборов учета                    
</t>
  </si>
  <si>
    <t xml:space="preserve">Площадь бюджетных учреждений, в которых расчеты за ТЭ осуществляются с использованием приборов учета                    
</t>
  </si>
  <si>
    <t xml:space="preserve">Расход ТЭ бюджетных учреждений, расчеты за которую осуществляются с применением расчетных способов  
</t>
  </si>
  <si>
    <t xml:space="preserve">Площадь бюджетных учреждений, в которых расчеты за ТЭ осуществляются с применением расчетных способов                
</t>
  </si>
  <si>
    <t xml:space="preserve">Расход воды на снабжение бюджетных учреждений, расчеты за которую осуществляются с использованием приборов учета     
</t>
  </si>
  <si>
    <t xml:space="preserve">Численность сотрудников бюджетных учреждений, в котором расходы воды осуществляются с использованием приборов учета     
</t>
  </si>
  <si>
    <t xml:space="preserve">Расход воды на снабжение бюджетных учреждений, расчеты за которую осуществляются с применением расчетных способов    
</t>
  </si>
  <si>
    <t xml:space="preserve">Численность сотрудников бюджетных учреждений, в которых расходы воды осуществляются с применением расчетных способов                
</t>
  </si>
  <si>
    <t xml:space="preserve">Расход ЭЭ на обеспечение бюджетных учреждений, расчеты за которую осуществляются с использованием приборов учета     
</t>
  </si>
  <si>
    <t xml:space="preserve">Площадь бюджетных учреждений, в которых расчеты за ЭЭ осуществляются с использованием приборов учета                    
</t>
  </si>
  <si>
    <t xml:space="preserve">Расход ЭЭ на обеспечение бюджетных учреждений, расчеты за которую осуществляются с применением расчетных способов    
</t>
  </si>
  <si>
    <t xml:space="preserve">Площадь бюджетных учреждений, в котором расчеты за ЭЭ осуществляются с применением расчетного способа                
</t>
  </si>
  <si>
    <t xml:space="preserve">Объем природного газа, потребляемого (используемого) бюджетными учреждениями МО        
</t>
  </si>
  <si>
    <t xml:space="preserve">Объем природного газа, потребляемого (используемого) бюджетными учреждениями, расчеты за который осуществляются с использованием приборов учета     
</t>
  </si>
  <si>
    <t xml:space="preserve">Расходы бюджета МО на обеспечение энергетическими ресурсами бюджетных учреждений              
</t>
  </si>
  <si>
    <t xml:space="preserve">Расходы МО на предоставление субсидий организациям коммунального комплекса на приобретение топлива              
</t>
  </si>
  <si>
    <t xml:space="preserve">Общее количество бюджетных учреждений                        
</t>
  </si>
  <si>
    <t xml:space="preserve">Количество бюджетных учреждений, в отношении которых проведено обязательное энергетическое обследование                      
</t>
  </si>
  <si>
    <t xml:space="preserve">Число энергосервисных договоров (контрактов), заключенных муниципальными заказчиками        
</t>
  </si>
  <si>
    <t xml:space="preserve">Общее количество муниципальных заказчиков                        
</t>
  </si>
  <si>
    <t xml:space="preserve">Количество муниципальных заказчиков, заключивших энергосервисные договоры (контракты)                       
</t>
  </si>
  <si>
    <t xml:space="preserve">Объем товаров, работ, услуг, закупаемых для муниципальных нужд 
</t>
  </si>
  <si>
    <t xml:space="preserve">Объем товаров, работ, услуг, закупаемых для муниципальных нужд в соответствии с требованиями энергетической эффективности      
</t>
  </si>
  <si>
    <t xml:space="preserve">Площадь жилых домов на территории МО, где расчеты за воду осуществляются с использованием приборов учета (в части многоквартирных домов - с использованием коллективных (общедомовых) приборов учета)     
</t>
  </si>
  <si>
    <t>№</t>
  </si>
  <si>
    <t>Наименование показателей</t>
  </si>
  <si>
    <t>Ед. изм.</t>
  </si>
  <si>
    <t>Расчетная формула</t>
  </si>
  <si>
    <t>Значения целевых показателей</t>
  </si>
  <si>
    <t>Группа А. Общие целевые показатели в области энергосбережения и повышения энергетической эффективности</t>
  </si>
  <si>
    <t>А.1.</t>
  </si>
  <si>
    <t>Динамика энергоемкости муниципального продукта муниципальных программ в области энергсбережения и повышения энергетической эффективности</t>
  </si>
  <si>
    <t>кг.у.т./тыс.руб.</t>
  </si>
  <si>
    <t>п2/п1</t>
  </si>
  <si>
    <t>А.2.</t>
  </si>
  <si>
    <t>Доля объемов электрической энергии (далее - ЭЭ), расчеты за которую осуществляются с использованием приборов учета (в части многоквартирных домов - с использованием коллективных приборов учета), в общем объеме ЭЭ, потребляемой на территории муниципального образования (далее МО)</t>
  </si>
  <si>
    <t>%</t>
  </si>
  <si>
    <t>(п7/п3)*100%</t>
  </si>
  <si>
    <t>А.3.</t>
  </si>
  <si>
    <t xml:space="preserve">Доля объемов ТЭ (далее - ТЭ), расчеты за которую осуществляются с использованием приборов учета (в части многоквартирных домов - с использованием коллективных приборов учета), в общем объеме ТЭ, потребляемой  на территории МО </t>
  </si>
  <si>
    <t>(п8/п4)*100%</t>
  </si>
  <si>
    <t xml:space="preserve">A.4.   </t>
  </si>
  <si>
    <t>Доля объемов воды, расчеты за которую осуществляются с использованием приборов учета ( в части многоквартирных домов - с использованием коллетивных приборов учета), в общем объеме воды, используемой на территории МО</t>
  </si>
  <si>
    <t>(п9/п5)*100%</t>
  </si>
  <si>
    <t xml:space="preserve">A.5.   </t>
  </si>
  <si>
    <t>Доля объемов природного газа, расчеты за который осуществляются с использованием приборов учета ( в части многоквартирных домов - с использованием индивидуальных и общих приборов учета), в общем объеме природного газа, потребляемого на территории МО</t>
  </si>
  <si>
    <t>(п10/п6)*100%</t>
  </si>
  <si>
    <t xml:space="preserve">A.6.   </t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</si>
  <si>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муниципальной программы</t>
  </si>
  <si>
    <t>(п18/п17)*100%</t>
  </si>
  <si>
    <t xml:space="preserve">A.7.   </t>
  </si>
  <si>
    <t xml:space="preserve">A.8.   </t>
  </si>
  <si>
    <t>Изменение объема производства энергетических ресурсов с использованием возобновляемых источников энергии и (или) вторичных энергетических ресурсов</t>
  </si>
  <si>
    <t>п15 (n) - п15 (n-1)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</si>
  <si>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МО</t>
  </si>
  <si>
    <t>(п15/п16)*100%</t>
  </si>
  <si>
    <t>Группа B. Целевые показатели в области энергосбережения и повышения энергетической эффективности,отражающие экономию по отдельным видам энергетических ресурсов</t>
  </si>
  <si>
    <t>В.1.</t>
  </si>
  <si>
    <t>Экономия ЭЭ в натуральном выражении</t>
  </si>
  <si>
    <t>тыс.кВтч</t>
  </si>
  <si>
    <r>
      <t>[(А.1.(2007) – А.1.(n))/ А.1.(2007)] ∙</t>
    </r>
    <r>
      <rPr>
        <sz val="10"/>
        <color indexed="8"/>
        <rFont val="Times New Roman"/>
        <family val="1"/>
      </rPr>
      <t>п.3</t>
    </r>
    <r>
      <rPr>
        <sz val="8"/>
        <color indexed="8"/>
        <rFont val="Times New Roman"/>
        <family val="1"/>
      </rPr>
      <t>.(2007)</t>
    </r>
  </si>
  <si>
    <t>В.2.</t>
  </si>
  <si>
    <t>Экономия ЭЭ  в стоимостном выражении</t>
  </si>
  <si>
    <r>
      <t>В.1.*</t>
    </r>
    <r>
      <rPr>
        <sz val="10"/>
        <color indexed="8"/>
        <rFont val="Times New Roman"/>
        <family val="1"/>
      </rPr>
      <t>п.11.(</t>
    </r>
    <r>
      <rPr>
        <sz val="8"/>
        <color indexed="8"/>
        <rFont val="Times New Roman"/>
        <family val="1"/>
      </rPr>
      <t>2007)</t>
    </r>
  </si>
  <si>
    <t>В.3.</t>
  </si>
  <si>
    <t>Экономия ТЭ в натуральном выражении</t>
  </si>
  <si>
    <r>
      <t>[(А.1.(2007) – А.1.(n))/ А.1.(2007)] ∙</t>
    </r>
    <r>
      <rPr>
        <sz val="10"/>
        <color indexed="8"/>
        <rFont val="Times New Roman"/>
        <family val="1"/>
      </rPr>
      <t>п.4</t>
    </r>
    <r>
      <rPr>
        <sz val="8"/>
        <color indexed="8"/>
        <rFont val="Times New Roman"/>
        <family val="1"/>
      </rPr>
      <t>.(2007)</t>
    </r>
  </si>
  <si>
    <t>В.4.</t>
  </si>
  <si>
    <t>Экономия ТЭ  в стоимостном выражении</t>
  </si>
  <si>
    <t xml:space="preserve"> тыс.руб.</t>
  </si>
  <si>
    <r>
      <t>В.3.*</t>
    </r>
    <r>
      <rPr>
        <sz val="10"/>
        <color indexed="8"/>
        <rFont val="Times New Roman"/>
        <family val="1"/>
      </rPr>
      <t>п.12.(</t>
    </r>
    <r>
      <rPr>
        <sz val="8"/>
        <color indexed="8"/>
        <rFont val="Times New Roman"/>
        <family val="1"/>
      </rPr>
      <t>2007)</t>
    </r>
  </si>
  <si>
    <t>В.5.</t>
  </si>
  <si>
    <t>Экономия воды в натуральном выражении</t>
  </si>
  <si>
    <t>тыс.м.куб</t>
  </si>
  <si>
    <r>
      <t>[(А.1.(2007) – А.1.(n))/ А.1.(2007)] ∙</t>
    </r>
    <r>
      <rPr>
        <sz val="10"/>
        <color indexed="8"/>
        <rFont val="Times New Roman"/>
        <family val="1"/>
      </rPr>
      <t>п.5</t>
    </r>
    <r>
      <rPr>
        <sz val="8"/>
        <color indexed="8"/>
        <rFont val="Times New Roman"/>
        <family val="1"/>
      </rPr>
      <t>.(2007)</t>
    </r>
  </si>
  <si>
    <t>В.6.</t>
  </si>
  <si>
    <t>Экономия воды в стоимостном выражении</t>
  </si>
  <si>
    <r>
      <t>В.5.*</t>
    </r>
    <r>
      <rPr>
        <sz val="10"/>
        <color indexed="8"/>
        <rFont val="Times New Roman"/>
        <family val="1"/>
      </rPr>
      <t>п.13</t>
    </r>
    <r>
      <rPr>
        <sz val="8"/>
        <color indexed="8"/>
        <rFont val="Times New Roman"/>
        <family val="1"/>
      </rPr>
      <t>.</t>
    </r>
    <r>
      <rPr>
        <sz val="10"/>
        <color indexed="8"/>
        <rFont val="Times New Roman"/>
        <family val="1"/>
      </rPr>
      <t>(</t>
    </r>
    <r>
      <rPr>
        <sz val="8"/>
        <color indexed="8"/>
        <rFont val="Times New Roman"/>
        <family val="1"/>
      </rPr>
      <t>2007)</t>
    </r>
  </si>
  <si>
    <t>В.7.</t>
  </si>
  <si>
    <t>Экономия природного газа  в натуральном выражении</t>
  </si>
  <si>
    <r>
      <t>[(А.1.(2007) – А.1.(n))/ А.1.(2007)] ∙</t>
    </r>
    <r>
      <rPr>
        <sz val="10"/>
        <color indexed="8"/>
        <rFont val="Times New Roman"/>
        <family val="1"/>
      </rPr>
      <t>п.6</t>
    </r>
    <r>
      <rPr>
        <sz val="8"/>
        <color indexed="8"/>
        <rFont val="Times New Roman"/>
        <family val="1"/>
      </rPr>
      <t>.(2007)</t>
    </r>
  </si>
  <si>
    <t>В.8.</t>
  </si>
  <si>
    <t>Экономия природного газа  в стоимостном выражении</t>
  </si>
  <si>
    <t>руб.</t>
  </si>
  <si>
    <r>
      <t>В.7.*</t>
    </r>
    <r>
      <rPr>
        <sz val="10"/>
        <color indexed="8"/>
        <rFont val="Times New Roman"/>
        <family val="1"/>
      </rPr>
      <t>п.14</t>
    </r>
    <r>
      <rPr>
        <sz val="8"/>
        <color indexed="8"/>
        <rFont val="Times New Roman"/>
        <family val="1"/>
      </rPr>
      <t>.</t>
    </r>
    <r>
      <rPr>
        <sz val="10"/>
        <color indexed="8"/>
        <rFont val="Times New Roman"/>
        <family val="1"/>
      </rPr>
      <t>(</t>
    </r>
    <r>
      <rPr>
        <sz val="8"/>
        <color indexed="8"/>
        <rFont val="Times New Roman"/>
        <family val="1"/>
      </rPr>
      <t>2007)</t>
    </r>
  </si>
  <si>
    <t>Группа С. Целевые показатели в области энергосбережения и повышения энергетической эффективности в бюджетном секторе</t>
  </si>
  <si>
    <t>С.1.</t>
  </si>
  <si>
    <t xml:space="preserve">Уд.расход ТЭ БУ на 1 кв. метр общей площади, расчеты за которую осуществляются с использованием приборов учета </t>
  </si>
  <si>
    <t>Гкал/кв.м.</t>
  </si>
  <si>
    <t>п.19./п.20.</t>
  </si>
  <si>
    <t>С.2.</t>
  </si>
  <si>
    <t xml:space="preserve">Уд.расход ТЭ БУ на 1 кв. метр общей площади, расчеты за которую осуществляются с применением расчетных способов </t>
  </si>
  <si>
    <t>п.21./п.22.</t>
  </si>
  <si>
    <t>С.3</t>
  </si>
  <si>
    <t>Изменение уд.расхода ТЭ БУ общей площади, расчеты за которую осуществляются с использованием приборов учета на 1 кв.м.</t>
  </si>
  <si>
    <t>С.1.(n) - C.1.(n-1)</t>
  </si>
  <si>
    <t>С.4.</t>
  </si>
  <si>
    <t>Изменение уд.расхода ТЭ БУ  общей площади, расчеты за которую осуществляются с применением расчетным способом на 1 кв.м.</t>
  </si>
  <si>
    <t>С.6.</t>
  </si>
  <si>
    <t>Изменение отношения уд.расхода ТЭ БУ, расчеты за которую осуществляются с применением расчетных способов, к уд.расходу ТЭ БУ, расчеты за которую осуществляются с использованием приборов учета</t>
  </si>
  <si>
    <t>-</t>
  </si>
  <si>
    <t>С.2./С.1.</t>
  </si>
  <si>
    <t>С.7.</t>
  </si>
  <si>
    <t>Уд.расход воды на снабжение БУ, расчеты за которую осуществляются с использованием приборов учета на 1 чел.</t>
  </si>
  <si>
    <t>куб.м./чел.</t>
  </si>
  <si>
    <t>п.23./п.24.</t>
  </si>
  <si>
    <t>С.8.</t>
  </si>
  <si>
    <t>Уд.расход воды на обеспечение БУ, расчеты за которую осуществляются с применением расчетных способов на 1 чел.</t>
  </si>
  <si>
    <t>п.25/п.26.</t>
  </si>
  <si>
    <t>С.2.(n) - C.2.(n-1)</t>
  </si>
  <si>
    <t>С.9.</t>
  </si>
  <si>
    <t>Изменение уд.расхода воды на обеспечение БУ, расчеты за которую осуществляются с использованием приборов учета на 1 чел.</t>
  </si>
  <si>
    <t>С.10.</t>
  </si>
  <si>
    <t>Изменение уд.расхода воды на обеспечение БУ, расчеты за которую осуществляются с применением расчетных способов на 1 чел.</t>
  </si>
  <si>
    <t>С.11.</t>
  </si>
  <si>
    <t>Изменение отношения уд.расхода воды на обеспечение БУ, расчеты за которую осуществляются с применением расчетных способов, к уд.расходу ЭЭ на обеспечение БУ, расчеты за которую осуществляются с использованием приборов учета</t>
  </si>
  <si>
    <t>С.12.</t>
  </si>
  <si>
    <t>Уд.расход ЭЭ на обеспечение БУ, расчеты за которую осуществляются с использованием приборов учета на 1 чел.</t>
  </si>
  <si>
    <t>кВтч/чел</t>
  </si>
  <si>
    <t>п.27./п.28.</t>
  </si>
  <si>
    <t>С.13.</t>
  </si>
  <si>
    <t>Уд.расход ЭЭ на обеспечение БУ, расчеты за которую осуществляются с применением расчетных способов на 1 чел.</t>
  </si>
  <si>
    <t>п.29./п.30.</t>
  </si>
  <si>
    <t>С.7.(n) - C.7.(n-1)</t>
  </si>
  <si>
    <t>С.8.(n) - C.8.(n-1)</t>
  </si>
  <si>
    <t>С.14.</t>
  </si>
  <si>
    <t>Изменение уд.расхода ЭЭ на обеспечение БУ, расчеты за которую осуществляются с использованием приборов учета на 1 чел.</t>
  </si>
  <si>
    <t>С.15.</t>
  </si>
  <si>
    <t>Изменение уд.расхода ЭЭ на обеспечение БУ, расчеты за которую осуществляются с применением расчетных способов на 1 чел.</t>
  </si>
  <si>
    <t>С.16.</t>
  </si>
  <si>
    <t>Изменение отношения уд.расхода ЭЭ на обеспечение БУ, расчеты за которую осуществляются с применением расчетных способов, к уд.расходу ЭЭ на обеспечение БУ, расчеты за которую осуществляются с использованием приборов учета</t>
  </si>
  <si>
    <t>С.17.</t>
  </si>
  <si>
    <t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t>
  </si>
  <si>
    <t>С.18.</t>
  </si>
  <si>
    <t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t>
  </si>
  <si>
    <t>п.19./(п.19.+п.21.)*100%</t>
  </si>
  <si>
    <t>С.19.</t>
  </si>
  <si>
    <t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t>
  </si>
  <si>
    <t>п.23./(п.23.+п.25.)*100%</t>
  </si>
  <si>
    <t>С.12.(n) - C.12.(n-1)</t>
  </si>
  <si>
    <t>С.13.(n) - C.13.(n-1)</t>
  </si>
  <si>
    <t>С.20.</t>
  </si>
  <si>
    <t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t>
  </si>
  <si>
    <t>(п.32./п.31.)*100%</t>
  </si>
  <si>
    <t>С.21.</t>
  </si>
  <si>
    <t xml:space="preserve">Доля расходов бюджета МО на обеспечение энергетическими ресурсами БУ </t>
  </si>
  <si>
    <t>С.21.1.</t>
  </si>
  <si>
    <t>для фактических условий</t>
  </si>
  <si>
    <t>п.34.(n)/ п.33.(n)</t>
  </si>
  <si>
    <t>для сопоставимых условий</t>
  </si>
  <si>
    <t>п.34.(n)/п.33.(2007)</t>
  </si>
  <si>
    <t>С.22.</t>
  </si>
  <si>
    <t>Динамика расходов бюджета МО на обеспечение энергетическими ресурсами БУ (для фактических и сопоставимых условий)</t>
  </si>
  <si>
    <t>С.22.1.</t>
  </si>
  <si>
    <t>С.22.2.</t>
  </si>
  <si>
    <t>С.23.</t>
  </si>
  <si>
    <t>Доля расходов бюджета МО на предоставление субсидий организациям коммунального комплекса на приобретение топлива</t>
  </si>
  <si>
    <t>(п.35./п.33.)*100%</t>
  </si>
  <si>
    <t>С.21.2.</t>
  </si>
  <si>
    <t>С.21.1.(n) - C.21.1.(n-1)</t>
  </si>
  <si>
    <t>С.21.2.(n) - C.21.2.(n-1)</t>
  </si>
  <si>
    <t>С.24.</t>
  </si>
  <si>
    <t>Динамика расходов бюджета МО на предоставление субсидий организациям коммунального комплекса на приобретение топлива</t>
  </si>
  <si>
    <t>С.25.</t>
  </si>
  <si>
    <t>Доля БУ, финансируемых за счет бюджета МО, в общем объеме БУ, в отношении которых проведено обязательное энергетическое обследование</t>
  </si>
  <si>
    <t>п.37./п.36.</t>
  </si>
  <si>
    <t>С.26.</t>
  </si>
  <si>
    <t>Число энергосервисных договоров, заключенных муниципальными заказчиками</t>
  </si>
  <si>
    <t>шт.</t>
  </si>
  <si>
    <t>п.38.</t>
  </si>
  <si>
    <t>С.27.</t>
  </si>
  <si>
    <t>Доля государственных, муниципальных заказчиков в общем объеме муниципальных заказчиков, которыми заключены энергосервисные договоры</t>
  </si>
  <si>
    <t>п.40/п.39.</t>
  </si>
  <si>
    <t>С.28.</t>
  </si>
  <si>
    <t xml:space="preserve">Доля товаров, работ, услуг, закупаемых для  муниципальных нужд в соответствии с требованиями энергетической эффективности, в общем объеме закупаемых товаров, работ, услуг для муниципальных нужд </t>
  </si>
  <si>
    <t>п.42/п.41.</t>
  </si>
  <si>
    <t>С.29.</t>
  </si>
  <si>
    <t>Удельные расходы бюджета МО на предоставление социальной поддержки гражданам по оплате жилого помещения и коммунальных услуг на 1 чел.</t>
  </si>
  <si>
    <t>тыс.руб./ чел.</t>
  </si>
  <si>
    <t>п.43/п.44.</t>
  </si>
  <si>
    <t>С.23.(n) - C.23.(n-1)</t>
  </si>
  <si>
    <t>Группа D. Целевые показатели в области энергосбережения и повышения энергетической эффективности в жилищном фонде</t>
  </si>
  <si>
    <t>D.1.</t>
  </si>
  <si>
    <t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t>
  </si>
  <si>
    <t>(п.46./п.45.)*100%</t>
  </si>
  <si>
    <t>D.2.</t>
  </si>
  <si>
    <t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t>
  </si>
  <si>
    <t>(п.48./п.47.)*100%</t>
  </si>
  <si>
    <t>D.3.</t>
  </si>
  <si>
    <t>Доля объемов ЭЭ, потребляемой в МКД, оплата которой осуществляется с использованием индивидуальных и общих (для коммунальной квартиры) приборов учета, в общем объеме ЭЭ, потребляемой (используемой) в МКД на территории МО</t>
  </si>
  <si>
    <t>(п.49./п.47.)*100%</t>
  </si>
  <si>
    <t>D.4.</t>
  </si>
  <si>
    <t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t>
  </si>
  <si>
    <t>(п.51./п.50.)*100%</t>
  </si>
  <si>
    <t>D.5.</t>
  </si>
  <si>
    <t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t>
  </si>
  <si>
    <t>D.6.</t>
  </si>
  <si>
    <t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t>
  </si>
  <si>
    <t>(п.55./п.54.)*100%</t>
  </si>
  <si>
    <t>D.7.</t>
  </si>
  <si>
    <t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t>
  </si>
  <si>
    <t>(п.57./п.56.)*100%</t>
  </si>
  <si>
    <t>D.8.</t>
  </si>
  <si>
    <t>Доля объемов воды, потребляемой (используемой) в МКД,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МКД на территории МО</t>
  </si>
  <si>
    <t>(п.58./п.56.)*100%</t>
  </si>
  <si>
    <t>D.9.</t>
  </si>
  <si>
    <t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t>
  </si>
  <si>
    <t>(п.60./п.59.)*100%</t>
  </si>
  <si>
    <t>D.10.</t>
  </si>
  <si>
    <t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t>
  </si>
  <si>
    <t>(п.62./п.61.)*100%</t>
  </si>
  <si>
    <t>D.11.</t>
  </si>
  <si>
    <t>Число жилых домов, в отношении которых проведено ЭО</t>
  </si>
  <si>
    <t>D.12.</t>
  </si>
  <si>
    <t>Доля жилых домов, в отношении которых проведено ЭО, в общем числе жилых домов</t>
  </si>
  <si>
    <t>(п.64./п.63.)*100%</t>
  </si>
  <si>
    <t>D.13.</t>
  </si>
  <si>
    <t>Уд.расход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</si>
  <si>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(п.51.+п.53.)/п.65.</t>
  </si>
  <si>
    <t>D.14.</t>
  </si>
  <si>
    <t>Уд.расход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</si>
  <si>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(п.50.-п.51)./п.66.</t>
  </si>
  <si>
    <t>D.15.</t>
  </si>
  <si>
    <t>Изменение уд.расхода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</si>
  <si>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D.15.1</t>
  </si>
  <si>
    <t>D.15.2.</t>
  </si>
  <si>
    <t>D.16.</t>
  </si>
  <si>
    <t>Изменение уд.расхода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</si>
  <si>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D.16.1.</t>
  </si>
  <si>
    <t>D.16.2.</t>
  </si>
  <si>
    <t>D.17.</t>
  </si>
  <si>
    <t xml:space="preserve">Изменение отношения уд.расхода ТЭ в жилых домах, расчеты за которую осуществляются с применением расчетных способов (нормативов потребления), к уд.расходу ТЭ в жилых домах, расчеты за которую осуществляются с использованием приборов учета </t>
  </si>
  <si>
    <t>D.17.1.</t>
  </si>
  <si>
    <t>D.14./D.13.</t>
  </si>
  <si>
    <t>D.17.2.</t>
  </si>
  <si>
    <t>D.14./D.13.(2007)</t>
  </si>
  <si>
    <t>D.18.</t>
  </si>
  <si>
    <t>Уд.расход воды в жилых домах, расчеты за которую осуществляются с использованием приборов учета (в части МКД домов - с использованием коллективных (общедомовых) приборов учета) (в расчете на 1 кв. метр общей площади)</t>
  </si>
  <si>
    <t>куб.м./кв.м.</t>
  </si>
  <si>
    <t>(п.55+п.57.)/п.67.</t>
  </si>
  <si>
    <t>D.19.</t>
  </si>
  <si>
    <t>Уд.расход воды в жилых домах, расчеты за которую осуществляются с применением расчетных способов (нормативов потребления) (в расчете на 1 кв. метр общей площади);</t>
  </si>
  <si>
    <t>D.20.</t>
  </si>
  <si>
    <t>Изменение уд.расхода воды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 для фактических и сопоставимых условий)</t>
  </si>
  <si>
    <t>D.20.1.</t>
  </si>
  <si>
    <t>D.20.2.</t>
  </si>
  <si>
    <t>D.21.</t>
  </si>
  <si>
    <t>Изменение уд.расхода воды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и сопоставимых условий)</t>
  </si>
  <si>
    <t>D.21.1.</t>
  </si>
  <si>
    <t>D.21.2.</t>
  </si>
  <si>
    <t>D.22.</t>
  </si>
  <si>
    <t>Изменение отношения уд.расхода воды в жилых домах, расчеты за которую осуществляются с применением расчетных способов (нормативов потребления), к уд.расходу воды в жилых домах, расчеты за которую осуществляются с использованием приборов учета (для фактических и сопоставимых условий)</t>
  </si>
  <si>
    <t>D.22.1.</t>
  </si>
  <si>
    <t>D.19./D.18.</t>
  </si>
  <si>
    <t>D.22.2.</t>
  </si>
  <si>
    <t>D.19./D.18.(2007)</t>
  </si>
  <si>
    <t>D.23.</t>
  </si>
  <si>
    <t>Уд.расход ЭЭ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площади);</t>
  </si>
  <si>
    <t>кВтч/кв.м.</t>
  </si>
  <si>
    <t>D.24.</t>
  </si>
  <si>
    <t>Уд.расход ЭЭ в жилых домах, расчеты за которую осуществляются с применением расчетных способов (нормативов потребления) (в расчете на 1 кв. метр общей площади);</t>
  </si>
  <si>
    <t>(п.45-п.46.)/п.70.</t>
  </si>
  <si>
    <t>D.25.</t>
  </si>
  <si>
    <t>Изменение уд.расхода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 для фактических и сопоставимых условий);</t>
  </si>
  <si>
    <t>D.25.1.</t>
  </si>
  <si>
    <t>D.25.2.</t>
  </si>
  <si>
    <t>D.26.</t>
  </si>
  <si>
    <t>Изменение уд.расхода ЭЭ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условий)</t>
  </si>
  <si>
    <t>D.26.1.</t>
  </si>
  <si>
    <t>D.26.2.</t>
  </si>
  <si>
    <t>D.27.</t>
  </si>
  <si>
    <t>Изменение отношения уд.расхода ЭЭ в жилых домах, расчеты за которую осуществляются с применением расчетных способов (нормативов потребления), к удельному расходу ЭЭ в жилых домах, расчеты за которую осуществляются с использованием приборов учета (для фактических  и сопоставимых условий)</t>
  </si>
  <si>
    <t>D.27.1.</t>
  </si>
  <si>
    <t>D.24./D.23.</t>
  </si>
  <si>
    <t>D.27.2.</t>
  </si>
  <si>
    <t>D.24./D.23.(2007)</t>
  </si>
  <si>
    <t>D.28.</t>
  </si>
  <si>
    <t>Уд.расход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площади)</t>
  </si>
  <si>
    <t>тыс.куб.м./кв.м.</t>
  </si>
  <si>
    <t>(п.60+п.62.)/п.71.</t>
  </si>
  <si>
    <t>D.29.</t>
  </si>
  <si>
    <t>Уд.расход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площади)</t>
  </si>
  <si>
    <t>(п.59-п.60.)/п.72.</t>
  </si>
  <si>
    <t>D.30.</t>
  </si>
  <si>
    <t>Изменение уд.расхода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 )</t>
  </si>
  <si>
    <t>D.30.1.</t>
  </si>
  <si>
    <t>D.30.2.</t>
  </si>
  <si>
    <t>D.31.</t>
  </si>
  <si>
    <t>Изменение уд.расхода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 для фактических и сопоставимых условий);</t>
  </si>
  <si>
    <t>D.31.1.</t>
  </si>
  <si>
    <t>D.31.2.</t>
  </si>
  <si>
    <t>D.32.</t>
  </si>
  <si>
    <t xml:space="preserve">Изменение отношения уд.расхода природного газа в жилых домах, расчеты за который осуществляются с применением расчетных способов (нормативов потребления), к уд.расходу природного газа в жилых домах, расчеты за который осуществляются с использованием приборов учета </t>
  </si>
  <si>
    <t>D.32.1.</t>
  </si>
  <si>
    <t>D.29./D.28.</t>
  </si>
  <si>
    <t>D.32.2.</t>
  </si>
  <si>
    <t>D.29./D.28.(2007)</t>
  </si>
  <si>
    <t>D.13.(n) - D.13.(n-1)</t>
  </si>
  <si>
    <t>D.13.(n) - D.13.(2007)</t>
  </si>
  <si>
    <t>D.14.(n) - D.14.(n-1)</t>
  </si>
  <si>
    <t>D.14.(n) - D.14.(2007)</t>
  </si>
  <si>
    <t>D.18.(n) - D.18.(n-1)</t>
  </si>
  <si>
    <t>D.18.(n) - D.18.(2007)</t>
  </si>
  <si>
    <t>D.19.(n) - D.19.(n-1)</t>
  </si>
  <si>
    <t>D.19.(n) - D.19.(2007)</t>
  </si>
  <si>
    <t>D.23.(n) - D.23.(n-1)</t>
  </si>
  <si>
    <t>D.23.(n) - D.23.(2007)</t>
  </si>
  <si>
    <t>D.24.(n) - D.24.(n-1)</t>
  </si>
  <si>
    <t>D.24.(n) - D.24.(2007)</t>
  </si>
  <si>
    <t>D.28.(n) - D.28.(n-1)</t>
  </si>
  <si>
    <t>D.28.(n) - D.28.(2007)</t>
  </si>
  <si>
    <t>D.29.(n) - D.29.(n-1)</t>
  </si>
  <si>
    <t>D.29.(n) - D.29.(2007)</t>
  </si>
  <si>
    <t>Группа Е. Целевые показатели в области энергосбережения и повышения энергетической эффективности в системах коммунальной инфраструктуры</t>
  </si>
  <si>
    <t>Е.1.</t>
  </si>
  <si>
    <t>Изменение уд.расхода топлива на выработку ЭЭ тепловыми электростанциями</t>
  </si>
  <si>
    <t>г.у.т./кВтч</t>
  </si>
  <si>
    <t>Е.2.</t>
  </si>
  <si>
    <t>Изменение уд.расхода топлива на выработку ТЭ</t>
  </si>
  <si>
    <t>г.у.т./Гкал</t>
  </si>
  <si>
    <t>Е.3.</t>
  </si>
  <si>
    <t>Динамика изменения фактического объема потерь ЭЭ при ее передаче по распределительным сетям</t>
  </si>
  <si>
    <t>кВтч</t>
  </si>
  <si>
    <t>Е.4.</t>
  </si>
  <si>
    <t>Динамика изменения фактического объема потерь ТЭ при ее передаче</t>
  </si>
  <si>
    <t>Гкалч</t>
  </si>
  <si>
    <t>Е.5.</t>
  </si>
  <si>
    <t>Динамика изменения фактического объема потерь воды при ее передаче</t>
  </si>
  <si>
    <t>Е.6.</t>
  </si>
  <si>
    <t>Динамика изменения объемов ЭЭ, используемой при передаче (транспортировке) воды</t>
  </si>
  <si>
    <t>кВт</t>
  </si>
  <si>
    <t>Группа F. Целевые показатели в области энергосбережения и повышения энергетической эффективности в транспортном комплексе</t>
  </si>
  <si>
    <t>F.1.</t>
  </si>
  <si>
    <t>Динамика количества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МО;</t>
  </si>
  <si>
    <t>F.2.</t>
  </si>
  <si>
    <t>Динамика количества общественного транспорта, регулирование тарифов на услуги по перевозке на котором осуществляется субъектом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</si>
  <si>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п.79.(n) - п.79.(n-1)</t>
  </si>
  <si>
    <t>п.80.(n) - п.80.(n-1)</t>
  </si>
  <si>
    <t>С.8./С.7.</t>
  </si>
  <si>
    <t>С.13./С.12.</t>
  </si>
  <si>
    <t>Объем потребления природного газа, расчеты за который осуществляются с использованием приборов учета</t>
  </si>
  <si>
    <t>п.27./(п.27.+п.29.)*100%</t>
  </si>
  <si>
    <t>(п.53./п.52.)*100%</t>
  </si>
  <si>
    <t>п.64.</t>
  </si>
  <si>
    <t>(п.54-п.55.)/п.68.</t>
  </si>
  <si>
    <t>(п.46+п.48.)/п.69.</t>
  </si>
  <si>
    <t>п.74.(n) -п.74.(n-1)</t>
  </si>
  <si>
    <t>п.73.(n) -п.73.(n-1)</t>
  </si>
  <si>
    <t>п.75.(n) -п.75.(n-1)</t>
  </si>
  <si>
    <t>п.76.(n) -п.76.(n-1)</t>
  </si>
  <si>
    <t>п.77.(n) -п.77.(n-1)</t>
  </si>
  <si>
    <t>п.78.(n) -п.78.(n-1)</t>
  </si>
  <si>
    <t>Расчет целевых показателей муниципальной программы</t>
  </si>
  <si>
    <t>Приложение № 5</t>
  </si>
  <si>
    <t>к районной целевой программе по энергосбережению и повышению энергетическойэффективности Пуровского района на 2010 -2020 годы</t>
  </si>
  <si>
    <t>Приложение № 6</t>
  </si>
  <si>
    <t>млр.руб.</t>
  </si>
  <si>
    <t>Выработка воды</t>
  </si>
  <si>
    <t>куб.м</t>
  </si>
  <si>
    <t>Тариф</t>
  </si>
  <si>
    <t>Выработка тепла</t>
  </si>
  <si>
    <t>Выработка ЭЭ (Самбург)</t>
  </si>
  <si>
    <t>кВт/час</t>
  </si>
  <si>
    <t>Потребление газа</t>
  </si>
  <si>
    <t>тыс.м.куб.</t>
  </si>
  <si>
    <t>тариф</t>
  </si>
  <si>
    <t xml:space="preserve">Передача ЭЭ </t>
  </si>
  <si>
    <t>к районной целевой программе по энергосбережению и повышению энергетическойэффективности Пуровского района на 2010 - 2020 годы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</si>
</sst>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000"/>
    <numFmt numFmtId="167" formatCode="0.0"/>
    <numFmt numFmtId="168" formatCode="_-* #,##0.000_р_._-;\-* #,##0.000_р_._-;_-* &quot;-&quot;???_р_._-;_-@_-"/>
    <numFmt numFmtId="169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b/>
      <sz val="10"/>
      <color theme="1"/>
      <name val="Arial"/>
      <family val="2"/>
    </font>
    <font>
      <sz val="11"/>
      <color theme="4" tint="-0.24997000396251678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2"/>
      <color rgb="FF000000"/>
      <name val="Times New Roman"/>
      <family val="1"/>
    </font>
    <font>
      <b/>
      <sz val="10"/>
      <color rgb="FF000000"/>
      <name val="Arial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49" fontId="44" fillId="33" borderId="10" xfId="0" applyNumberFormat="1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0" fontId="0" fillId="0" borderId="0" xfId="55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5" fillId="0" borderId="11" xfId="0" applyNumberFormat="1" applyFont="1" applyBorder="1" applyAlignment="1">
      <alignment horizontal="left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45" fillId="0" borderId="11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4" fontId="0" fillId="0" borderId="10" xfId="0" applyNumberFormat="1" applyBorder="1" applyAlignment="1">
      <alignment horizontal="center" vertical="center"/>
    </xf>
    <xf numFmtId="0" fontId="46" fillId="0" borderId="11" xfId="0" applyFont="1" applyBorder="1" applyAlignment="1">
      <alignment wrapText="1"/>
    </xf>
    <xf numFmtId="164" fontId="0" fillId="0" borderId="10" xfId="0" applyNumberFormat="1" applyBorder="1" applyAlignment="1">
      <alignment horizontal="center" vertical="center"/>
    </xf>
    <xf numFmtId="9" fontId="0" fillId="0" borderId="12" xfId="55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9" fontId="47" fillId="0" borderId="0" xfId="55" applyFont="1" applyAlignment="1">
      <alignment horizontal="center" vertical="center"/>
    </xf>
    <xf numFmtId="9" fontId="0" fillId="0" borderId="0" xfId="55" applyFont="1" applyAlignment="1">
      <alignment/>
    </xf>
    <xf numFmtId="0" fontId="44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9" fontId="44" fillId="33" borderId="10" xfId="55" applyFont="1" applyFill="1" applyBorder="1" applyAlignment="1">
      <alignment horizontal="center" vertical="center" wrapText="1"/>
    </xf>
    <xf numFmtId="9" fontId="44" fillId="33" borderId="10" xfId="55" applyNumberFormat="1" applyFont="1" applyFill="1" applyBorder="1" applyAlignment="1">
      <alignment horizontal="center" vertical="center" wrapText="1"/>
    </xf>
    <xf numFmtId="0" fontId="44" fillId="33" borderId="10" xfId="55" applyNumberFormat="1" applyFont="1" applyFill="1" applyBorder="1" applyAlignment="1">
      <alignment horizontal="center" vertical="center" wrapText="1"/>
    </xf>
    <xf numFmtId="2" fontId="44" fillId="33" borderId="10" xfId="55" applyNumberFormat="1" applyFont="1" applyFill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center" wrapText="1"/>
    </xf>
    <xf numFmtId="1" fontId="44" fillId="33" borderId="10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right"/>
    </xf>
    <xf numFmtId="164" fontId="44" fillId="33" borderId="0" xfId="0" applyNumberFormat="1" applyFont="1" applyFill="1" applyAlignment="1">
      <alignment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left" vertical="center" wrapText="1"/>
    </xf>
    <xf numFmtId="0" fontId="44" fillId="33" borderId="0" xfId="0" applyFont="1" applyFill="1" applyAlignment="1">
      <alignment horizontal="left"/>
    </xf>
    <xf numFmtId="0" fontId="44" fillId="33" borderId="0" xfId="0" applyFont="1" applyFill="1" applyAlignment="1">
      <alignment horizontal="left" vertical="center" wrapText="1"/>
    </xf>
    <xf numFmtId="49" fontId="44" fillId="33" borderId="0" xfId="0" applyNumberFormat="1" applyFont="1" applyFill="1" applyBorder="1" applyAlignment="1">
      <alignment horizontal="center" vertical="center" wrapText="1"/>
    </xf>
    <xf numFmtId="49" fontId="44" fillId="33" borderId="0" xfId="0" applyNumberFormat="1" applyFont="1" applyFill="1" applyBorder="1" applyAlignment="1">
      <alignment horizontal="left" vertical="center" wrapText="1"/>
    </xf>
    <xf numFmtId="44" fontId="44" fillId="33" borderId="10" xfId="0" applyNumberFormat="1" applyFont="1" applyFill="1" applyBorder="1" applyAlignment="1">
      <alignment horizontal="center" vertical="center" wrapText="1"/>
    </xf>
    <xf numFmtId="165" fontId="44" fillId="33" borderId="10" xfId="0" applyNumberFormat="1" applyFont="1" applyFill="1" applyBorder="1" applyAlignment="1">
      <alignment horizontal="center" vertical="center" wrapText="1"/>
    </xf>
    <xf numFmtId="165" fontId="10" fillId="33" borderId="10" xfId="0" applyNumberFormat="1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center" vertical="center" wrapText="1"/>
    </xf>
    <xf numFmtId="43" fontId="44" fillId="33" borderId="10" xfId="0" applyNumberFormat="1" applyFont="1" applyFill="1" applyBorder="1" applyAlignment="1">
      <alignment horizontal="center" vertical="center" wrapText="1"/>
    </xf>
    <xf numFmtId="167" fontId="44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8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4" fontId="0" fillId="34" borderId="10" xfId="0" applyNumberFormat="1" applyFill="1" applyBorder="1" applyAlignment="1">
      <alignment/>
    </xf>
    <xf numFmtId="41" fontId="44" fillId="33" borderId="10" xfId="0" applyNumberFormat="1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43" fontId="44" fillId="33" borderId="10" xfId="0" applyNumberFormat="1" applyFont="1" applyFill="1" applyBorder="1" applyAlignment="1">
      <alignment horizontal="left" vertical="center" wrapText="1"/>
    </xf>
    <xf numFmtId="169" fontId="44" fillId="33" borderId="10" xfId="55" applyNumberFormat="1" applyFont="1" applyFill="1" applyBorder="1" applyAlignment="1">
      <alignment horizontal="center" vertical="center" wrapText="1"/>
    </xf>
    <xf numFmtId="0" fontId="44" fillId="33" borderId="0" xfId="0" applyNumberFormat="1" applyFont="1" applyFill="1" applyAlignment="1">
      <alignment vertical="top" wrapText="1"/>
    </xf>
    <xf numFmtId="49" fontId="44" fillId="33" borderId="0" xfId="0" applyNumberFormat="1" applyFont="1" applyFill="1" applyAlignment="1">
      <alignment horizontal="justify"/>
    </xf>
    <xf numFmtId="0" fontId="44" fillId="33" borderId="0" xfId="0" applyFont="1" applyFill="1" applyAlignment="1">
      <alignment horizontal="left"/>
    </xf>
    <xf numFmtId="49" fontId="44" fillId="33" borderId="10" xfId="0" applyNumberFormat="1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49" fontId="44" fillId="33" borderId="15" xfId="0" applyNumberFormat="1" applyFont="1" applyFill="1" applyBorder="1" applyAlignment="1">
      <alignment horizontal="center" vertical="center" wrapText="1"/>
    </xf>
    <xf numFmtId="49" fontId="44" fillId="33" borderId="16" xfId="0" applyNumberFormat="1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left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"/>
  <sheetViews>
    <sheetView view="pageBreakPreview" zoomScale="70" zoomScaleNormal="60" zoomScaleSheetLayoutView="70" zoomScalePageLayoutView="0" workbookViewId="0" topLeftCell="A1">
      <pane xSplit="3" ySplit="7" topLeftCell="G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23" sqref="I23"/>
    </sheetView>
  </sheetViews>
  <sheetFormatPr defaultColWidth="9.8515625" defaultRowHeight="15"/>
  <cols>
    <col min="1" max="1" width="6.7109375" style="23" bestFit="1" customWidth="1"/>
    <col min="2" max="2" width="45.00390625" style="23" customWidth="1"/>
    <col min="3" max="3" width="11.421875" style="23" customWidth="1"/>
    <col min="4" max="17" width="16.28125" style="23" customWidth="1"/>
    <col min="18" max="16384" width="9.8515625" style="23" customWidth="1"/>
  </cols>
  <sheetData>
    <row r="1" spans="3:17" ht="23.25" customHeight="1"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65" t="s">
        <v>523</v>
      </c>
      <c r="Q1" s="65"/>
    </row>
    <row r="2" spans="3:17" ht="74.25" customHeight="1"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64" t="s">
        <v>537</v>
      </c>
      <c r="Q2" s="64"/>
    </row>
    <row r="3" spans="1:17" ht="21" customHeight="1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ht="19.5" customHeight="1">
      <c r="M4" s="41"/>
    </row>
    <row r="5" spans="1:17" ht="25.5" customHeight="1">
      <c r="A5" s="66" t="s">
        <v>0</v>
      </c>
      <c r="B5" s="71" t="s">
        <v>3</v>
      </c>
      <c r="C5" s="67" t="s">
        <v>1</v>
      </c>
      <c r="D5" s="68" t="s">
        <v>4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70"/>
    </row>
    <row r="6" spans="1:17" ht="17.25" customHeight="1">
      <c r="A6" s="66"/>
      <c r="B6" s="72"/>
      <c r="C6" s="67"/>
      <c r="D6" s="29">
        <v>2007</v>
      </c>
      <c r="E6" s="29">
        <v>2008</v>
      </c>
      <c r="F6" s="29">
        <v>2009</v>
      </c>
      <c r="G6" s="29">
        <v>2010</v>
      </c>
      <c r="H6" s="29">
        <v>2011</v>
      </c>
      <c r="I6" s="29">
        <v>2012</v>
      </c>
      <c r="J6" s="29">
        <v>2013</v>
      </c>
      <c r="K6" s="29">
        <v>2014</v>
      </c>
      <c r="L6" s="29">
        <v>2015</v>
      </c>
      <c r="M6" s="29">
        <v>2016</v>
      </c>
      <c r="N6" s="29">
        <v>2017</v>
      </c>
      <c r="O6" s="29">
        <v>2018</v>
      </c>
      <c r="P6" s="29">
        <v>2019</v>
      </c>
      <c r="Q6" s="29">
        <v>2020</v>
      </c>
    </row>
    <row r="7" spans="1:17" ht="15" customHeight="1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  <c r="L7" s="29">
        <v>12</v>
      </c>
      <c r="M7" s="29">
        <v>13</v>
      </c>
      <c r="N7" s="29">
        <v>14</v>
      </c>
      <c r="O7" s="29">
        <v>15</v>
      </c>
      <c r="P7" s="29">
        <v>16</v>
      </c>
      <c r="Q7" s="29">
        <v>17</v>
      </c>
    </row>
    <row r="8" spans="1:17" ht="22.5" customHeight="1">
      <c r="A8" s="29" t="s">
        <v>35</v>
      </c>
      <c r="B8" s="1" t="s">
        <v>71</v>
      </c>
      <c r="C8" s="42" t="s">
        <v>72</v>
      </c>
      <c r="D8" s="37">
        <v>0.89399475054766</v>
      </c>
      <c r="E8" s="37">
        <v>1.06194748202057</v>
      </c>
      <c r="F8" s="37">
        <v>1.21973303128251</v>
      </c>
      <c r="G8" s="37">
        <v>1.5076204327592901</v>
      </c>
      <c r="H8" s="37">
        <v>1.6788685343218201</v>
      </c>
      <c r="I8" s="37">
        <v>1.8408552510900003</v>
      </c>
      <c r="J8" s="37">
        <v>2.028006067396</v>
      </c>
      <c r="K8" s="37">
        <v>2.226683173532</v>
      </c>
      <c r="L8" s="37">
        <v>2.444312801068</v>
      </c>
      <c r="M8" s="37">
        <v>2.687659296612</v>
      </c>
      <c r="N8" s="37">
        <v>2.955128284976</v>
      </c>
      <c r="O8" s="37">
        <v>3.249395288432</v>
      </c>
      <c r="P8" s="37">
        <v>3.572838697036</v>
      </c>
      <c r="Q8" s="37">
        <v>3.928601511496</v>
      </c>
    </row>
    <row r="9" spans="1:17" ht="49.5" customHeight="1">
      <c r="A9" s="29" t="s">
        <v>36</v>
      </c>
      <c r="B9" s="1" t="s">
        <v>73</v>
      </c>
      <c r="C9" s="29" t="s">
        <v>74</v>
      </c>
      <c r="D9" s="37">
        <v>113.953</v>
      </c>
      <c r="E9" s="37">
        <v>113.574</v>
      </c>
      <c r="F9" s="37">
        <v>127.28099999999999</v>
      </c>
      <c r="G9" s="37">
        <v>128.132</v>
      </c>
      <c r="H9" s="37">
        <v>105.854</v>
      </c>
      <c r="I9" s="37">
        <v>105.854</v>
      </c>
      <c r="J9" s="37">
        <v>105.854</v>
      </c>
      <c r="K9" s="37">
        <v>105.854</v>
      </c>
      <c r="L9" s="37">
        <v>105.854</v>
      </c>
      <c r="M9" s="37">
        <v>105.854</v>
      </c>
      <c r="N9" s="37">
        <v>105.854</v>
      </c>
      <c r="O9" s="37">
        <v>105.854</v>
      </c>
      <c r="P9" s="37">
        <v>105.854</v>
      </c>
      <c r="Q9" s="37">
        <v>105.854</v>
      </c>
    </row>
    <row r="10" spans="1:17" ht="31.5" customHeight="1">
      <c r="A10" s="29" t="s">
        <v>37</v>
      </c>
      <c r="B10" s="1" t="s">
        <v>75</v>
      </c>
      <c r="C10" s="29" t="s">
        <v>76</v>
      </c>
      <c r="D10" s="37">
        <v>155951</v>
      </c>
      <c r="E10" s="37">
        <v>162858</v>
      </c>
      <c r="F10" s="37">
        <v>163551.17</v>
      </c>
      <c r="G10" s="37">
        <v>176670.03100000002</v>
      </c>
      <c r="H10" s="37">
        <v>159149.37449999998</v>
      </c>
      <c r="I10" s="37">
        <v>157422.47999999998</v>
      </c>
      <c r="J10" s="37">
        <v>157422.47999999998</v>
      </c>
      <c r="K10" s="37">
        <v>157422.47999999998</v>
      </c>
      <c r="L10" s="37">
        <v>157422.47999999998</v>
      </c>
      <c r="M10" s="37">
        <v>157422.47999999998</v>
      </c>
      <c r="N10" s="37">
        <v>157422.47999999998</v>
      </c>
      <c r="O10" s="37">
        <v>157422.47999999998</v>
      </c>
      <c r="P10" s="37">
        <v>157422.47999999998</v>
      </c>
      <c r="Q10" s="37">
        <v>157422.47999999998</v>
      </c>
    </row>
    <row r="11" spans="1:17" ht="27" customHeight="1">
      <c r="A11" s="29" t="s">
        <v>38</v>
      </c>
      <c r="B11" s="1" t="s">
        <v>77</v>
      </c>
      <c r="C11" s="29" t="s">
        <v>78</v>
      </c>
      <c r="D11" s="37">
        <v>542.593568</v>
      </c>
      <c r="E11" s="37">
        <v>549.267563</v>
      </c>
      <c r="F11" s="37">
        <v>518.246406</v>
      </c>
      <c r="G11" s="37">
        <v>549.409</v>
      </c>
      <c r="H11" s="37">
        <v>534.324</v>
      </c>
      <c r="I11" s="37">
        <v>528.08445</v>
      </c>
      <c r="J11" s="37">
        <v>525.70107</v>
      </c>
      <c r="K11" s="37">
        <v>525.70107</v>
      </c>
      <c r="L11" s="37">
        <v>525.70107</v>
      </c>
      <c r="M11" s="37">
        <v>525.70107</v>
      </c>
      <c r="N11" s="37">
        <v>525.70107</v>
      </c>
      <c r="O11" s="37">
        <v>525.70107</v>
      </c>
      <c r="P11" s="37">
        <v>525.70107</v>
      </c>
      <c r="Q11" s="37">
        <v>525.70107</v>
      </c>
    </row>
    <row r="12" spans="1:17" ht="22.5" customHeight="1">
      <c r="A12" s="29" t="s">
        <v>39</v>
      </c>
      <c r="B12" s="1" t="s">
        <v>79</v>
      </c>
      <c r="C12" s="29" t="s">
        <v>33</v>
      </c>
      <c r="D12" s="37">
        <v>2893.266563</v>
      </c>
      <c r="E12" s="37">
        <v>2831.257233</v>
      </c>
      <c r="F12" s="37">
        <v>2661.099676</v>
      </c>
      <c r="G12" s="37">
        <v>2811.75</v>
      </c>
      <c r="H12" s="37">
        <v>2870.543209</v>
      </c>
      <c r="I12" s="37">
        <v>2864.17</v>
      </c>
      <c r="J12" s="37">
        <v>2857.8</v>
      </c>
      <c r="K12" s="37">
        <v>2857.8</v>
      </c>
      <c r="L12" s="37">
        <v>2857.8</v>
      </c>
      <c r="M12" s="37">
        <v>2857.8</v>
      </c>
      <c r="N12" s="37">
        <v>2857.8</v>
      </c>
      <c r="O12" s="37">
        <v>2857.8</v>
      </c>
      <c r="P12" s="37">
        <v>2857.8</v>
      </c>
      <c r="Q12" s="37">
        <v>2857.8</v>
      </c>
    </row>
    <row r="13" spans="1:17" ht="22.5" customHeight="1">
      <c r="A13" s="42" t="s">
        <v>40</v>
      </c>
      <c r="B13" s="1" t="s">
        <v>80</v>
      </c>
      <c r="C13" s="1" t="s">
        <v>33</v>
      </c>
      <c r="D13" s="37">
        <v>112217</v>
      </c>
      <c r="E13" s="37">
        <v>108050</v>
      </c>
      <c r="F13" s="37">
        <v>115770</v>
      </c>
      <c r="G13" s="37">
        <v>117426</v>
      </c>
      <c r="H13" s="37">
        <v>118000</v>
      </c>
      <c r="I13" s="37">
        <v>118500</v>
      </c>
      <c r="J13" s="37">
        <v>119000</v>
      </c>
      <c r="K13" s="37">
        <v>119500</v>
      </c>
      <c r="L13" s="37">
        <v>120000</v>
      </c>
      <c r="M13" s="37">
        <v>120000</v>
      </c>
      <c r="N13" s="37">
        <v>120000</v>
      </c>
      <c r="O13" s="37">
        <v>120000</v>
      </c>
      <c r="P13" s="37">
        <v>120000</v>
      </c>
      <c r="Q13" s="37">
        <v>120000</v>
      </c>
    </row>
    <row r="14" spans="1:17" ht="28.5" customHeight="1">
      <c r="A14" s="29" t="s">
        <v>41</v>
      </c>
      <c r="B14" s="1" t="s">
        <v>81</v>
      </c>
      <c r="C14" s="29" t="s">
        <v>76</v>
      </c>
      <c r="D14" s="37">
        <v>143475</v>
      </c>
      <c r="E14" s="37">
        <v>155247</v>
      </c>
      <c r="F14" s="37">
        <v>162971.62000000002</v>
      </c>
      <c r="G14" s="37">
        <v>159917.916</v>
      </c>
      <c r="H14" s="37">
        <v>157446.0194</v>
      </c>
      <c r="I14" s="37">
        <v>157119.636</v>
      </c>
      <c r="J14" s="37">
        <v>157119.636</v>
      </c>
      <c r="K14" s="37">
        <v>157119.636</v>
      </c>
      <c r="L14" s="37">
        <v>157119.636</v>
      </c>
      <c r="M14" s="37">
        <v>157119.636</v>
      </c>
      <c r="N14" s="37">
        <v>157119.636</v>
      </c>
      <c r="O14" s="37">
        <v>157119.636</v>
      </c>
      <c r="P14" s="37">
        <v>157119.636</v>
      </c>
      <c r="Q14" s="37">
        <v>157119.636</v>
      </c>
    </row>
    <row r="15" spans="1:17" ht="45.75" customHeight="1">
      <c r="A15" s="29" t="s">
        <v>42</v>
      </c>
      <c r="B15" s="1" t="s">
        <v>82</v>
      </c>
      <c r="C15" s="29" t="s">
        <v>78</v>
      </c>
      <c r="D15" s="37">
        <v>30.426</v>
      </c>
      <c r="E15" s="37">
        <v>25.060832</v>
      </c>
      <c r="F15" s="37">
        <v>31.347</v>
      </c>
      <c r="G15" s="37">
        <v>41.628</v>
      </c>
      <c r="H15" s="37">
        <v>41.77</v>
      </c>
      <c r="I15" s="37">
        <v>49.467</v>
      </c>
      <c r="J15" s="37">
        <v>49.239</v>
      </c>
      <c r="K15" s="37">
        <v>49.239</v>
      </c>
      <c r="L15" s="37">
        <v>49.239</v>
      </c>
      <c r="M15" s="37">
        <v>49.239</v>
      </c>
      <c r="N15" s="37">
        <v>49.239</v>
      </c>
      <c r="O15" s="37">
        <v>49.239</v>
      </c>
      <c r="P15" s="37">
        <v>49.239</v>
      </c>
      <c r="Q15" s="37">
        <v>49.239</v>
      </c>
    </row>
    <row r="16" spans="1:17" ht="39.75" customHeight="1">
      <c r="A16" s="29" t="s">
        <v>43</v>
      </c>
      <c r="B16" s="1" t="s">
        <v>83</v>
      </c>
      <c r="C16" s="29" t="s">
        <v>33</v>
      </c>
      <c r="D16" s="37">
        <v>327.842</v>
      </c>
      <c r="E16" s="37">
        <v>375.863568</v>
      </c>
      <c r="F16" s="37">
        <v>458.27294</v>
      </c>
      <c r="G16" s="37">
        <v>549.689</v>
      </c>
      <c r="H16" s="37">
        <v>1194.99</v>
      </c>
      <c r="I16" s="37">
        <v>2864.17</v>
      </c>
      <c r="J16" s="37">
        <v>2857.8</v>
      </c>
      <c r="K16" s="37">
        <v>2857.8</v>
      </c>
      <c r="L16" s="37">
        <v>2857.8</v>
      </c>
      <c r="M16" s="37">
        <v>2857.8</v>
      </c>
      <c r="N16" s="37">
        <v>2857.8</v>
      </c>
      <c r="O16" s="37">
        <v>2857.8</v>
      </c>
      <c r="P16" s="37">
        <v>2857.8</v>
      </c>
      <c r="Q16" s="37">
        <v>2857.8</v>
      </c>
    </row>
    <row r="17" spans="1:17" ht="39" customHeight="1">
      <c r="A17" s="29" t="s">
        <v>44</v>
      </c>
      <c r="B17" s="1" t="s">
        <v>510</v>
      </c>
      <c r="C17" s="29" t="s">
        <v>33</v>
      </c>
      <c r="D17" s="37">
        <v>107497</v>
      </c>
      <c r="E17" s="37">
        <v>102940</v>
      </c>
      <c r="F17" s="37">
        <v>110590</v>
      </c>
      <c r="G17" s="37">
        <v>112316</v>
      </c>
      <c r="H17" s="37">
        <v>113000</v>
      </c>
      <c r="I17" s="37">
        <f>I13</f>
        <v>118500</v>
      </c>
      <c r="J17" s="37">
        <f aca="true" t="shared" si="0" ref="J17:Q17">J13</f>
        <v>119000</v>
      </c>
      <c r="K17" s="37">
        <f t="shared" si="0"/>
        <v>119500</v>
      </c>
      <c r="L17" s="37">
        <f t="shared" si="0"/>
        <v>120000</v>
      </c>
      <c r="M17" s="37">
        <f t="shared" si="0"/>
        <v>120000</v>
      </c>
      <c r="N17" s="37">
        <f t="shared" si="0"/>
        <v>120000</v>
      </c>
      <c r="O17" s="37">
        <f t="shared" si="0"/>
        <v>120000</v>
      </c>
      <c r="P17" s="37">
        <f t="shared" si="0"/>
        <v>120000</v>
      </c>
      <c r="Q17" s="37">
        <f t="shared" si="0"/>
        <v>120000</v>
      </c>
    </row>
    <row r="18" spans="1:17" ht="15" customHeight="1">
      <c r="A18" s="29" t="s">
        <v>45</v>
      </c>
      <c r="B18" s="1" t="s">
        <v>84</v>
      </c>
      <c r="C18" s="42" t="s">
        <v>64</v>
      </c>
      <c r="D18" s="37">
        <v>1.007</v>
      </c>
      <c r="E18" s="37">
        <v>1.278</v>
      </c>
      <c r="F18" s="37">
        <v>1.516</v>
      </c>
      <c r="G18" s="37">
        <v>1.785</v>
      </c>
      <c r="H18" s="37">
        <v>2.036</v>
      </c>
      <c r="I18" s="37">
        <v>2.32</v>
      </c>
      <c r="J18" s="37">
        <v>2.645</v>
      </c>
      <c r="K18" s="37">
        <v>2.909</v>
      </c>
      <c r="L18" s="37">
        <v>3.2</v>
      </c>
      <c r="M18" s="37">
        <v>3.52</v>
      </c>
      <c r="N18" s="37">
        <v>3.872</v>
      </c>
      <c r="O18" s="37">
        <v>4.259</v>
      </c>
      <c r="P18" s="37">
        <v>4.685</v>
      </c>
      <c r="Q18" s="37">
        <v>5.154</v>
      </c>
    </row>
    <row r="19" spans="1:17" ht="15" customHeight="1">
      <c r="A19" s="29" t="s">
        <v>46</v>
      </c>
      <c r="B19" s="1" t="s">
        <v>85</v>
      </c>
      <c r="C19" s="42" t="s">
        <v>62</v>
      </c>
      <c r="D19" s="37">
        <v>928.79</v>
      </c>
      <c r="E19" s="37">
        <v>1035.86</v>
      </c>
      <c r="F19" s="37">
        <v>1205.05</v>
      </c>
      <c r="G19" s="37">
        <v>1433.91</v>
      </c>
      <c r="H19" s="37">
        <v>1688.96</v>
      </c>
      <c r="I19" s="37">
        <v>1860.25</v>
      </c>
      <c r="J19" s="37">
        <v>2039.66</v>
      </c>
      <c r="K19" s="37">
        <v>2238.76</v>
      </c>
      <c r="L19" s="37">
        <v>2456.43</v>
      </c>
      <c r="M19" s="37">
        <v>2702.07</v>
      </c>
      <c r="N19" s="37">
        <v>2972.28</v>
      </c>
      <c r="O19" s="37">
        <v>3269.51</v>
      </c>
      <c r="P19" s="37">
        <v>3596.46</v>
      </c>
      <c r="Q19" s="37">
        <v>3956.1</v>
      </c>
    </row>
    <row r="20" spans="1:17" ht="15" customHeight="1">
      <c r="A20" s="29" t="s">
        <v>47</v>
      </c>
      <c r="B20" s="1" t="s">
        <v>61</v>
      </c>
      <c r="C20" s="42" t="s">
        <v>63</v>
      </c>
      <c r="D20" s="37">
        <v>37.87</v>
      </c>
      <c r="E20" s="37">
        <v>42.13</v>
      </c>
      <c r="F20" s="37">
        <v>51.56</v>
      </c>
      <c r="G20" s="37">
        <v>62.46</v>
      </c>
      <c r="H20" s="37">
        <v>68.1</v>
      </c>
      <c r="I20" s="37">
        <v>74.9</v>
      </c>
      <c r="J20" s="37">
        <v>82.4</v>
      </c>
      <c r="K20" s="37">
        <v>90.64</v>
      </c>
      <c r="L20" s="37">
        <v>99.7</v>
      </c>
      <c r="M20" s="37">
        <v>109.67</v>
      </c>
      <c r="N20" s="37">
        <v>120.64</v>
      </c>
      <c r="O20" s="37">
        <v>132.7</v>
      </c>
      <c r="P20" s="37">
        <v>145.97</v>
      </c>
      <c r="Q20" s="37">
        <v>160.57</v>
      </c>
    </row>
    <row r="21" spans="1:17" ht="27.75" customHeight="1">
      <c r="A21" s="29" t="s">
        <v>48</v>
      </c>
      <c r="B21" s="1" t="s">
        <v>69</v>
      </c>
      <c r="C21" s="42" t="s">
        <v>70</v>
      </c>
      <c r="D21" s="37">
        <v>239</v>
      </c>
      <c r="E21" s="37">
        <v>257</v>
      </c>
      <c r="F21" s="37">
        <v>311</v>
      </c>
      <c r="G21" s="37">
        <v>319</v>
      </c>
      <c r="H21" s="37">
        <v>354</v>
      </c>
      <c r="I21" s="37">
        <v>382</v>
      </c>
      <c r="J21" s="37">
        <v>413</v>
      </c>
      <c r="K21" s="37">
        <v>446</v>
      </c>
      <c r="L21" s="37">
        <v>481</v>
      </c>
      <c r="M21" s="37">
        <v>520</v>
      </c>
      <c r="N21" s="37">
        <v>561</v>
      </c>
      <c r="O21" s="37">
        <v>607</v>
      </c>
      <c r="P21" s="37">
        <v>655</v>
      </c>
      <c r="Q21" s="37">
        <v>707</v>
      </c>
    </row>
    <row r="22" spans="1:17" ht="53.25" customHeight="1">
      <c r="A22" s="29" t="s">
        <v>49</v>
      </c>
      <c r="B22" s="1" t="s">
        <v>86</v>
      </c>
      <c r="C22" s="29" t="s">
        <v>87</v>
      </c>
      <c r="D22" s="37" t="s">
        <v>270</v>
      </c>
      <c r="E22" s="48" t="s">
        <v>270</v>
      </c>
      <c r="F22" s="48" t="s">
        <v>270</v>
      </c>
      <c r="G22" s="48" t="s">
        <v>270</v>
      </c>
      <c r="H22" s="48" t="s">
        <v>270</v>
      </c>
      <c r="I22" s="48" t="s">
        <v>270</v>
      </c>
      <c r="J22" s="48" t="s">
        <v>270</v>
      </c>
      <c r="K22" s="48" t="s">
        <v>270</v>
      </c>
      <c r="L22" s="48" t="s">
        <v>270</v>
      </c>
      <c r="M22" s="48" t="s">
        <v>270</v>
      </c>
      <c r="N22" s="48" t="s">
        <v>270</v>
      </c>
      <c r="O22" s="48" t="s">
        <v>270</v>
      </c>
      <c r="P22" s="48" t="s">
        <v>270</v>
      </c>
      <c r="Q22" s="48" t="s">
        <v>270</v>
      </c>
    </row>
    <row r="23" spans="1:17" ht="26.25" customHeight="1">
      <c r="A23" s="29" t="s">
        <v>50</v>
      </c>
      <c r="B23" s="1" t="s">
        <v>167</v>
      </c>
      <c r="C23" s="42" t="s">
        <v>156</v>
      </c>
      <c r="D23" s="37">
        <v>5016</v>
      </c>
      <c r="E23" s="37">
        <v>22087</v>
      </c>
      <c r="F23" s="37">
        <v>2167073</v>
      </c>
      <c r="G23" s="37">
        <v>1388623.8</v>
      </c>
      <c r="H23" s="37">
        <v>1388623.8</v>
      </c>
      <c r="I23" s="37">
        <v>1388623.8</v>
      </c>
      <c r="J23" s="37">
        <v>1388623.8</v>
      </c>
      <c r="K23" s="37">
        <v>1388623.8</v>
      </c>
      <c r="L23" s="37">
        <v>1388623.8</v>
      </c>
      <c r="M23" s="37">
        <v>1388623.8</v>
      </c>
      <c r="N23" s="37">
        <v>1388623.8</v>
      </c>
      <c r="O23" s="37">
        <v>1388623.8</v>
      </c>
      <c r="P23" s="37">
        <v>1388623.8</v>
      </c>
      <c r="Q23" s="37">
        <v>1388623.8</v>
      </c>
    </row>
    <row r="24" spans="1:17" ht="41.25" customHeight="1">
      <c r="A24" s="29" t="s">
        <v>51</v>
      </c>
      <c r="B24" s="1" t="s">
        <v>168</v>
      </c>
      <c r="C24" s="29" t="s">
        <v>157</v>
      </c>
      <c r="D24" s="37" t="s">
        <v>270</v>
      </c>
      <c r="E24" s="48" t="s">
        <v>270</v>
      </c>
      <c r="F24" s="48" t="s">
        <v>270</v>
      </c>
      <c r="G24" s="49">
        <f>36270519/1000000000</f>
        <v>0.036270519</v>
      </c>
      <c r="H24" s="49">
        <f>130806350/1000000000</f>
        <v>0.13080635</v>
      </c>
      <c r="I24" s="50">
        <f>86167230/1000000000</f>
        <v>0.08616723</v>
      </c>
      <c r="J24" s="50">
        <f>119196000/1000000000</f>
        <v>0.119196</v>
      </c>
      <c r="K24" s="50">
        <f>958345652/1000000000</f>
        <v>0.958345652</v>
      </c>
      <c r="L24" s="50">
        <f>442249596/1000000000</f>
        <v>0.442249596</v>
      </c>
      <c r="M24" s="50">
        <f>390827906/1000000000</f>
        <v>0.390827906</v>
      </c>
      <c r="N24" s="50">
        <f>325593891/1000000000</f>
        <v>0.325593891</v>
      </c>
      <c r="O24" s="50">
        <f>414695172/1000000000</f>
        <v>0.414695172</v>
      </c>
      <c r="P24" s="50">
        <f>290904379/1000000000</f>
        <v>0.290904379</v>
      </c>
      <c r="Q24" s="50">
        <f>419354166/1000000000</f>
        <v>0.419354166</v>
      </c>
    </row>
    <row r="25" spans="1:17" ht="60" customHeight="1">
      <c r="A25" s="29" t="s">
        <v>52</v>
      </c>
      <c r="B25" s="1" t="s">
        <v>169</v>
      </c>
      <c r="C25" s="29" t="s">
        <v>157</v>
      </c>
      <c r="D25" s="37" t="s">
        <v>270</v>
      </c>
      <c r="E25" s="48" t="s">
        <v>270</v>
      </c>
      <c r="F25" s="48" t="s">
        <v>270</v>
      </c>
      <c r="G25" s="49">
        <f>36270519/1000000000</f>
        <v>0.036270519</v>
      </c>
      <c r="H25" s="49">
        <f>53806350/1000000000</f>
        <v>0.05380635</v>
      </c>
      <c r="I25" s="49">
        <f>19167230/1000000000</f>
        <v>0.01916723</v>
      </c>
      <c r="J25" s="49">
        <f>52196000/1000000000</f>
        <v>0.052196</v>
      </c>
      <c r="K25" s="49">
        <f>52018649/1000000000</f>
        <v>0.052018649</v>
      </c>
      <c r="L25" s="49">
        <f>60117000/1000000000</f>
        <v>0.060117</v>
      </c>
      <c r="M25" s="49">
        <f>101510840/1000000000</f>
        <v>0.10151084</v>
      </c>
      <c r="N25" s="49">
        <f>61277000/1000000000</f>
        <v>0.061277</v>
      </c>
      <c r="O25" s="49">
        <f>59906400/1000000000</f>
        <v>0.0599064</v>
      </c>
      <c r="P25" s="49">
        <f>62526000/1000000000</f>
        <v>0.062526</v>
      </c>
      <c r="Q25" s="49">
        <f>71953000/1000000000</f>
        <v>0.071953</v>
      </c>
    </row>
    <row r="26" spans="1:17" ht="41.25" customHeight="1">
      <c r="A26" s="29" t="s">
        <v>53</v>
      </c>
      <c r="B26" s="1" t="s">
        <v>170</v>
      </c>
      <c r="C26" s="29" t="s">
        <v>158</v>
      </c>
      <c r="D26" s="37">
        <v>5829.50399773526</v>
      </c>
      <c r="E26" s="37">
        <v>9430.148205497435</v>
      </c>
      <c r="F26" s="37">
        <v>12026.058232701726</v>
      </c>
      <c r="G26" s="37">
        <v>11665.276485720673</v>
      </c>
      <c r="H26" s="37">
        <v>11315.318191149054</v>
      </c>
      <c r="I26" s="37">
        <v>10975.858645414582</v>
      </c>
      <c r="J26" s="37">
        <v>10646.582886052145</v>
      </c>
      <c r="K26" s="37">
        <v>10327.185399470582</v>
      </c>
      <c r="L26" s="37">
        <v>10327.185399470582</v>
      </c>
      <c r="M26" s="37">
        <v>10327.185399470582</v>
      </c>
      <c r="N26" s="37">
        <v>10327.185399470582</v>
      </c>
      <c r="O26" s="37">
        <v>10327.185399470582</v>
      </c>
      <c r="P26" s="37">
        <v>10327.185399470582</v>
      </c>
      <c r="Q26" s="37">
        <v>10327.185399470582</v>
      </c>
    </row>
    <row r="27" spans="1:17" ht="38.25" customHeight="1">
      <c r="A27" s="29" t="s">
        <v>54</v>
      </c>
      <c r="B27" s="1" t="s">
        <v>171</v>
      </c>
      <c r="C27" s="29" t="s">
        <v>159</v>
      </c>
      <c r="D27" s="37">
        <v>26581</v>
      </c>
      <c r="E27" s="37">
        <v>49427.3</v>
      </c>
      <c r="F27" s="37">
        <v>58673.5</v>
      </c>
      <c r="G27" s="37">
        <v>71992</v>
      </c>
      <c r="H27" s="37">
        <v>71992</v>
      </c>
      <c r="I27" s="37">
        <v>71992</v>
      </c>
      <c r="J27" s="37">
        <v>71992</v>
      </c>
      <c r="K27" s="37">
        <v>71992</v>
      </c>
      <c r="L27" s="37">
        <v>71992</v>
      </c>
      <c r="M27" s="37">
        <v>71992</v>
      </c>
      <c r="N27" s="37">
        <v>71992</v>
      </c>
      <c r="O27" s="37">
        <v>71992</v>
      </c>
      <c r="P27" s="37">
        <v>71992</v>
      </c>
      <c r="Q27" s="37">
        <v>71992</v>
      </c>
    </row>
    <row r="28" spans="1:17" ht="44.25" customHeight="1">
      <c r="A28" s="29" t="s">
        <v>55</v>
      </c>
      <c r="B28" s="1" t="s">
        <v>172</v>
      </c>
      <c r="C28" s="29" t="s">
        <v>160</v>
      </c>
      <c r="D28" s="37">
        <v>57569.39538875733</v>
      </c>
      <c r="E28" s="37">
        <v>62589.58224592502</v>
      </c>
      <c r="F28" s="37">
        <v>59685.40079638725</v>
      </c>
      <c r="G28" s="37">
        <v>55743.85198048416</v>
      </c>
      <c r="H28" s="37">
        <v>57716.35948048416</v>
      </c>
      <c r="I28" s="37">
        <v>57716.35948048416</v>
      </c>
      <c r="J28" s="37">
        <v>57716.35948048416</v>
      </c>
      <c r="K28" s="37">
        <v>57716.35948048416</v>
      </c>
      <c r="L28" s="37">
        <v>57716.35948048416</v>
      </c>
      <c r="M28" s="37">
        <v>57716.35948048416</v>
      </c>
      <c r="N28" s="37">
        <v>57716.35948048416</v>
      </c>
      <c r="O28" s="37">
        <v>57716.35948048416</v>
      </c>
      <c r="P28" s="37">
        <v>57716.35948048416</v>
      </c>
      <c r="Q28" s="37">
        <v>57716.35948048416</v>
      </c>
    </row>
    <row r="29" spans="1:17" ht="44.25" customHeight="1">
      <c r="A29" s="29" t="s">
        <v>56</v>
      </c>
      <c r="B29" s="1" t="s">
        <v>173</v>
      </c>
      <c r="C29" s="29" t="s">
        <v>159</v>
      </c>
      <c r="D29" s="37">
        <v>318563</v>
      </c>
      <c r="E29" s="37">
        <v>323167.7</v>
      </c>
      <c r="F29" s="37">
        <v>313250.5</v>
      </c>
      <c r="G29" s="37">
        <v>294377</v>
      </c>
      <c r="H29" s="37">
        <v>297851.82</v>
      </c>
      <c r="I29" s="37">
        <v>297851.82</v>
      </c>
      <c r="J29" s="37">
        <v>297851.82</v>
      </c>
      <c r="K29" s="37">
        <v>297851.82</v>
      </c>
      <c r="L29" s="37">
        <v>297851.82</v>
      </c>
      <c r="M29" s="37">
        <v>297851.82</v>
      </c>
      <c r="N29" s="37">
        <v>297851.82</v>
      </c>
      <c r="O29" s="37">
        <v>297851.82</v>
      </c>
      <c r="P29" s="37">
        <v>297851.82</v>
      </c>
      <c r="Q29" s="37">
        <v>297851.82</v>
      </c>
    </row>
    <row r="30" spans="1:17" ht="51.75" customHeight="1">
      <c r="A30" s="29" t="s">
        <v>57</v>
      </c>
      <c r="B30" s="1" t="s">
        <v>174</v>
      </c>
      <c r="C30" s="29" t="s">
        <v>161</v>
      </c>
      <c r="D30" s="37">
        <v>8427.94921586423</v>
      </c>
      <c r="E30" s="37">
        <v>13630.151497743584</v>
      </c>
      <c r="F30" s="37">
        <v>15235.057074472415</v>
      </c>
      <c r="G30" s="37">
        <v>31043.384352351335</v>
      </c>
      <c r="H30" s="37">
        <v>164539.8875</v>
      </c>
      <c r="I30" s="37">
        <v>159603.690875</v>
      </c>
      <c r="J30" s="37">
        <v>154815.58014875</v>
      </c>
      <c r="K30" s="37">
        <v>150171.1127442875</v>
      </c>
      <c r="L30" s="37">
        <v>150171.112744288</v>
      </c>
      <c r="M30" s="37">
        <v>150171.112744288</v>
      </c>
      <c r="N30" s="37">
        <v>150171.112744288</v>
      </c>
      <c r="O30" s="37">
        <v>150171.112744288</v>
      </c>
      <c r="P30" s="37">
        <v>150171.112744288</v>
      </c>
      <c r="Q30" s="37">
        <v>150171.112744288</v>
      </c>
    </row>
    <row r="31" spans="1:17" ht="57" customHeight="1">
      <c r="A31" s="29" t="s">
        <v>58</v>
      </c>
      <c r="B31" s="1" t="s">
        <v>175</v>
      </c>
      <c r="C31" s="29" t="s">
        <v>162</v>
      </c>
      <c r="D31" s="37">
        <v>287</v>
      </c>
      <c r="E31" s="37">
        <v>720</v>
      </c>
      <c r="F31" s="37">
        <v>898</v>
      </c>
      <c r="G31" s="37">
        <v>1771</v>
      </c>
      <c r="H31" s="37">
        <v>8566</v>
      </c>
      <c r="I31" s="37">
        <v>8566</v>
      </c>
      <c r="J31" s="37">
        <v>8566</v>
      </c>
      <c r="K31" s="37">
        <v>8566</v>
      </c>
      <c r="L31" s="37">
        <v>8566</v>
      </c>
      <c r="M31" s="37">
        <v>8566</v>
      </c>
      <c r="N31" s="37">
        <v>8566</v>
      </c>
      <c r="O31" s="37">
        <v>8566</v>
      </c>
      <c r="P31" s="37">
        <v>8566</v>
      </c>
      <c r="Q31" s="37">
        <v>8566</v>
      </c>
    </row>
    <row r="32" spans="1:17" ht="64.5" customHeight="1">
      <c r="A32" s="29" t="s">
        <v>59</v>
      </c>
      <c r="B32" s="1" t="s">
        <v>176</v>
      </c>
      <c r="C32" s="29" t="s">
        <v>161</v>
      </c>
      <c r="D32" s="37">
        <v>163241.24917099602</v>
      </c>
      <c r="E32" s="37">
        <v>156389.97356086486</v>
      </c>
      <c r="F32" s="37">
        <v>159640.27796443965</v>
      </c>
      <c r="G32" s="37">
        <v>140527.12629359867</v>
      </c>
      <c r="H32" s="51" t="s">
        <v>270</v>
      </c>
      <c r="I32" s="51" t="s">
        <v>270</v>
      </c>
      <c r="J32" s="51" t="s">
        <v>270</v>
      </c>
      <c r="K32" s="51" t="s">
        <v>270</v>
      </c>
      <c r="L32" s="51" t="s">
        <v>270</v>
      </c>
      <c r="M32" s="51" t="s">
        <v>270</v>
      </c>
      <c r="N32" s="51" t="s">
        <v>270</v>
      </c>
      <c r="O32" s="51" t="s">
        <v>270</v>
      </c>
      <c r="P32" s="51" t="s">
        <v>270</v>
      </c>
      <c r="Q32" s="51" t="s">
        <v>270</v>
      </c>
    </row>
    <row r="33" spans="1:17" ht="65.25" customHeight="1">
      <c r="A33" s="29" t="s">
        <v>60</v>
      </c>
      <c r="B33" s="1" t="s">
        <v>177</v>
      </c>
      <c r="C33" s="29" t="s">
        <v>162</v>
      </c>
      <c r="D33" s="37">
        <v>8143</v>
      </c>
      <c r="E33" s="37">
        <v>7435</v>
      </c>
      <c r="F33" s="37">
        <v>7445</v>
      </c>
      <c r="G33" s="37">
        <v>6612</v>
      </c>
      <c r="H33" s="51" t="s">
        <v>270</v>
      </c>
      <c r="I33" s="51" t="s">
        <v>270</v>
      </c>
      <c r="J33" s="51" t="s">
        <v>270</v>
      </c>
      <c r="K33" s="51" t="s">
        <v>270</v>
      </c>
      <c r="L33" s="51" t="s">
        <v>270</v>
      </c>
      <c r="M33" s="51" t="s">
        <v>270</v>
      </c>
      <c r="N33" s="51" t="s">
        <v>270</v>
      </c>
      <c r="O33" s="51" t="s">
        <v>270</v>
      </c>
      <c r="P33" s="51" t="s">
        <v>270</v>
      </c>
      <c r="Q33" s="51" t="s">
        <v>270</v>
      </c>
    </row>
    <row r="34" spans="1:17" ht="42.75" customHeight="1">
      <c r="A34" s="29" t="s">
        <v>88</v>
      </c>
      <c r="B34" s="1" t="s">
        <v>178</v>
      </c>
      <c r="C34" s="29" t="s">
        <v>5</v>
      </c>
      <c r="D34" s="37">
        <v>13998915.61</v>
      </c>
      <c r="E34" s="37">
        <v>11098887.88</v>
      </c>
      <c r="F34" s="37">
        <v>13900481.67</v>
      </c>
      <c r="G34" s="37">
        <v>13483467.2199</v>
      </c>
      <c r="H34" s="37">
        <v>13078963.203303</v>
      </c>
      <c r="I34" s="37">
        <v>12686594.30720391</v>
      </c>
      <c r="J34" s="37">
        <v>12305996.477987792</v>
      </c>
      <c r="K34" s="37">
        <v>11936816.583648158</v>
      </c>
      <c r="L34" s="37">
        <v>11936816.5836482</v>
      </c>
      <c r="M34" s="37">
        <v>11936816.5836482</v>
      </c>
      <c r="N34" s="37">
        <v>11936816.5836482</v>
      </c>
      <c r="O34" s="37">
        <v>11936816.5836482</v>
      </c>
      <c r="P34" s="37">
        <v>11936816.5836482</v>
      </c>
      <c r="Q34" s="37">
        <v>11936816.5836482</v>
      </c>
    </row>
    <row r="35" spans="1:17" ht="40.5" customHeight="1">
      <c r="A35" s="29" t="s">
        <v>89</v>
      </c>
      <c r="B35" s="1" t="s">
        <v>179</v>
      </c>
      <c r="C35" s="29" t="s">
        <v>159</v>
      </c>
      <c r="D35" s="37">
        <v>345144.12999999995</v>
      </c>
      <c r="E35" s="37">
        <v>372594.69999999995</v>
      </c>
      <c r="F35" s="37">
        <v>371924.39999999997</v>
      </c>
      <c r="G35" s="37">
        <v>366369.12000000005</v>
      </c>
      <c r="H35" s="37">
        <v>369843.82</v>
      </c>
      <c r="I35" s="37">
        <v>369843.82</v>
      </c>
      <c r="J35" s="37">
        <v>369843.82</v>
      </c>
      <c r="K35" s="37">
        <v>369843.82</v>
      </c>
      <c r="L35" s="37">
        <v>369843.82</v>
      </c>
      <c r="M35" s="37">
        <v>369843.82</v>
      </c>
      <c r="N35" s="37">
        <v>369843.82</v>
      </c>
      <c r="O35" s="37">
        <v>369843.82</v>
      </c>
      <c r="P35" s="37">
        <v>369843.82</v>
      </c>
      <c r="Q35" s="37">
        <v>369843.82</v>
      </c>
    </row>
    <row r="36" spans="1:17" ht="51" customHeight="1">
      <c r="A36" s="29" t="s">
        <v>90</v>
      </c>
      <c r="B36" s="1" t="s">
        <v>180</v>
      </c>
      <c r="C36" s="29" t="s">
        <v>5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</row>
    <row r="37" spans="1:17" ht="43.5" customHeight="1">
      <c r="A37" s="29" t="s">
        <v>91</v>
      </c>
      <c r="B37" s="1" t="s">
        <v>181</v>
      </c>
      <c r="C37" s="29" t="s">
        <v>159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</row>
    <row r="38" spans="1:17" ht="30.75" customHeight="1">
      <c r="A38" s="29" t="s">
        <v>92</v>
      </c>
      <c r="B38" s="1" t="s">
        <v>182</v>
      </c>
      <c r="C38" s="29" t="s">
        <v>163</v>
      </c>
      <c r="D38" s="37" t="s">
        <v>270</v>
      </c>
      <c r="E38" s="37" t="s">
        <v>270</v>
      </c>
      <c r="F38" s="37" t="s">
        <v>270</v>
      </c>
      <c r="G38" s="37" t="s">
        <v>270</v>
      </c>
      <c r="H38" s="37" t="s">
        <v>270</v>
      </c>
      <c r="I38" s="37" t="s">
        <v>270</v>
      </c>
      <c r="J38" s="37" t="s">
        <v>270</v>
      </c>
      <c r="K38" s="37" t="s">
        <v>270</v>
      </c>
      <c r="L38" s="37" t="s">
        <v>270</v>
      </c>
      <c r="M38" s="37" t="s">
        <v>270</v>
      </c>
      <c r="N38" s="37" t="s">
        <v>270</v>
      </c>
      <c r="O38" s="37" t="s">
        <v>270</v>
      </c>
      <c r="P38" s="37" t="s">
        <v>270</v>
      </c>
      <c r="Q38" s="37" t="s">
        <v>270</v>
      </c>
    </row>
    <row r="39" spans="1:17" ht="55.5" customHeight="1">
      <c r="A39" s="29" t="s">
        <v>93</v>
      </c>
      <c r="B39" s="1" t="s">
        <v>183</v>
      </c>
      <c r="C39" s="29" t="s">
        <v>163</v>
      </c>
      <c r="D39" s="37" t="s">
        <v>270</v>
      </c>
      <c r="E39" s="37" t="s">
        <v>270</v>
      </c>
      <c r="F39" s="37" t="s">
        <v>270</v>
      </c>
      <c r="G39" s="37" t="s">
        <v>270</v>
      </c>
      <c r="H39" s="37" t="s">
        <v>270</v>
      </c>
      <c r="I39" s="37" t="s">
        <v>270</v>
      </c>
      <c r="J39" s="37" t="s">
        <v>270</v>
      </c>
      <c r="K39" s="37" t="s">
        <v>270</v>
      </c>
      <c r="L39" s="37" t="s">
        <v>270</v>
      </c>
      <c r="M39" s="37" t="s">
        <v>270</v>
      </c>
      <c r="N39" s="37" t="s">
        <v>270</v>
      </c>
      <c r="O39" s="37" t="s">
        <v>270</v>
      </c>
      <c r="P39" s="37" t="s">
        <v>270</v>
      </c>
      <c r="Q39" s="37" t="s">
        <v>270</v>
      </c>
    </row>
    <row r="40" spans="1:17" ht="24.75" customHeight="1">
      <c r="A40" s="29" t="s">
        <v>94</v>
      </c>
      <c r="B40" s="1" t="s">
        <v>164</v>
      </c>
      <c r="C40" s="29" t="s">
        <v>165</v>
      </c>
      <c r="D40" s="37">
        <v>6190092</v>
      </c>
      <c r="E40" s="37">
        <v>6551117</v>
      </c>
      <c r="F40" s="37">
        <v>6162768</v>
      </c>
      <c r="G40" s="37">
        <v>7782085</v>
      </c>
      <c r="H40" s="37">
        <v>8141010</v>
      </c>
      <c r="I40" s="37">
        <v>7098452</v>
      </c>
      <c r="J40" s="37">
        <v>6729732</v>
      </c>
      <c r="K40" s="37">
        <v>6729732</v>
      </c>
      <c r="L40" s="37">
        <v>6729732</v>
      </c>
      <c r="M40" s="37">
        <v>6729732</v>
      </c>
      <c r="N40" s="37">
        <v>6729732</v>
      </c>
      <c r="O40" s="37">
        <v>6729732</v>
      </c>
      <c r="P40" s="37">
        <v>6729732</v>
      </c>
      <c r="Q40" s="37">
        <v>6729732</v>
      </c>
    </row>
    <row r="41" spans="1:17" ht="42.75" customHeight="1">
      <c r="A41" s="29" t="s">
        <v>95</v>
      </c>
      <c r="B41" s="1" t="s">
        <v>184</v>
      </c>
      <c r="C41" s="29" t="s">
        <v>165</v>
      </c>
      <c r="D41" s="37">
        <v>113.16173569</v>
      </c>
      <c r="E41" s="37">
        <v>128.828012</v>
      </c>
      <c r="F41" s="37">
        <v>157.045995</v>
      </c>
      <c r="G41" s="37">
        <v>163.286543</v>
      </c>
      <c r="H41" s="37">
        <v>200373.626147969</v>
      </c>
      <c r="I41" s="37">
        <v>224876.926283817</v>
      </c>
      <c r="J41" s="37">
        <v>249341.642212415</v>
      </c>
      <c r="K41" s="37">
        <v>276530.152895784</v>
      </c>
      <c r="L41" s="37">
        <v>310473.161299217</v>
      </c>
      <c r="M41" s="37">
        <v>348612.587866686</v>
      </c>
      <c r="N41" s="37">
        <v>391470.953034446</v>
      </c>
      <c r="O41" s="37">
        <v>439636.302152493</v>
      </c>
      <c r="P41" s="37">
        <v>493770.480561369</v>
      </c>
      <c r="Q41" s="37">
        <v>554618.461064617</v>
      </c>
    </row>
    <row r="42" spans="1:17" ht="42.75" customHeight="1">
      <c r="A42" s="29" t="s">
        <v>96</v>
      </c>
      <c r="B42" s="1" t="s">
        <v>185</v>
      </c>
      <c r="C42" s="29" t="s">
        <v>165</v>
      </c>
      <c r="D42" s="37" t="s">
        <v>270</v>
      </c>
      <c r="E42" s="37" t="s">
        <v>270</v>
      </c>
      <c r="F42" s="37" t="s">
        <v>270</v>
      </c>
      <c r="G42" s="37" t="s">
        <v>270</v>
      </c>
      <c r="H42" s="37" t="s">
        <v>270</v>
      </c>
      <c r="I42" s="37" t="s">
        <v>270</v>
      </c>
      <c r="J42" s="37" t="s">
        <v>270</v>
      </c>
      <c r="K42" s="37" t="s">
        <v>270</v>
      </c>
      <c r="L42" s="37" t="s">
        <v>270</v>
      </c>
      <c r="M42" s="37" t="s">
        <v>270</v>
      </c>
      <c r="N42" s="37" t="s">
        <v>270</v>
      </c>
      <c r="O42" s="37" t="s">
        <v>270</v>
      </c>
      <c r="P42" s="37" t="s">
        <v>270</v>
      </c>
      <c r="Q42" s="37" t="s">
        <v>270</v>
      </c>
    </row>
    <row r="43" spans="1:17" ht="28.5" customHeight="1">
      <c r="A43" s="29" t="s">
        <v>97</v>
      </c>
      <c r="B43" s="1" t="s">
        <v>186</v>
      </c>
      <c r="C43" s="29" t="s">
        <v>166</v>
      </c>
      <c r="D43" s="37">
        <v>93</v>
      </c>
      <c r="E43" s="37">
        <v>96</v>
      </c>
      <c r="F43" s="37">
        <v>98</v>
      </c>
      <c r="G43" s="37">
        <v>112</v>
      </c>
      <c r="H43" s="37">
        <v>115</v>
      </c>
      <c r="I43" s="37">
        <v>115</v>
      </c>
      <c r="J43" s="37">
        <v>115</v>
      </c>
      <c r="K43" s="37">
        <v>115</v>
      </c>
      <c r="L43" s="37">
        <v>115</v>
      </c>
      <c r="M43" s="37">
        <v>115</v>
      </c>
      <c r="N43" s="37">
        <v>115</v>
      </c>
      <c r="O43" s="37">
        <v>115</v>
      </c>
      <c r="P43" s="37">
        <v>115</v>
      </c>
      <c r="Q43" s="37">
        <v>115</v>
      </c>
    </row>
    <row r="44" spans="1:17" ht="59.25" customHeight="1">
      <c r="A44" s="29" t="s">
        <v>98</v>
      </c>
      <c r="B44" s="1" t="s">
        <v>187</v>
      </c>
      <c r="C44" s="29" t="s">
        <v>166</v>
      </c>
      <c r="D44" s="37" t="s">
        <v>270</v>
      </c>
      <c r="E44" s="37" t="s">
        <v>270</v>
      </c>
      <c r="F44" s="37" t="s">
        <v>270</v>
      </c>
      <c r="G44" s="37" t="s">
        <v>270</v>
      </c>
      <c r="H44" s="37">
        <v>115</v>
      </c>
      <c r="I44" s="37" t="s">
        <v>270</v>
      </c>
      <c r="J44" s="37" t="s">
        <v>270</v>
      </c>
      <c r="K44" s="37" t="s">
        <v>270</v>
      </c>
      <c r="L44" s="37" t="s">
        <v>270</v>
      </c>
      <c r="M44" s="37">
        <v>115</v>
      </c>
      <c r="N44" s="37" t="s">
        <v>270</v>
      </c>
      <c r="O44" s="37" t="s">
        <v>270</v>
      </c>
      <c r="P44" s="37" t="s">
        <v>270</v>
      </c>
      <c r="Q44" s="37" t="s">
        <v>270</v>
      </c>
    </row>
    <row r="45" spans="1:17" ht="43.5" customHeight="1">
      <c r="A45" s="29" t="s">
        <v>99</v>
      </c>
      <c r="B45" s="1" t="s">
        <v>188</v>
      </c>
      <c r="C45" s="29" t="s">
        <v>166</v>
      </c>
      <c r="D45" s="61">
        <v>0</v>
      </c>
      <c r="E45" s="61">
        <v>0</v>
      </c>
      <c r="F45" s="61">
        <v>0</v>
      </c>
      <c r="G45" s="61">
        <v>0</v>
      </c>
      <c r="H45" s="36">
        <v>23</v>
      </c>
      <c r="I45" s="36">
        <v>23</v>
      </c>
      <c r="J45" s="36">
        <v>23</v>
      </c>
      <c r="K45" s="36">
        <v>23</v>
      </c>
      <c r="L45" s="36">
        <v>23</v>
      </c>
      <c r="M45" s="36">
        <v>23</v>
      </c>
      <c r="N45" s="36">
        <v>23</v>
      </c>
      <c r="O45" s="36">
        <v>23</v>
      </c>
      <c r="P45" s="36">
        <v>23</v>
      </c>
      <c r="Q45" s="36">
        <v>23</v>
      </c>
    </row>
    <row r="46" spans="1:17" ht="17.25" customHeight="1">
      <c r="A46" s="29" t="s">
        <v>100</v>
      </c>
      <c r="B46" s="1" t="s">
        <v>189</v>
      </c>
      <c r="C46" s="29" t="s">
        <v>166</v>
      </c>
      <c r="D46" s="37">
        <v>28</v>
      </c>
      <c r="E46" s="37">
        <v>28</v>
      </c>
      <c r="F46" s="37">
        <v>45</v>
      </c>
      <c r="G46" s="37">
        <v>109</v>
      </c>
      <c r="H46" s="37">
        <v>109</v>
      </c>
      <c r="I46" s="37">
        <v>109</v>
      </c>
      <c r="J46" s="37">
        <v>109</v>
      </c>
      <c r="K46" s="37">
        <v>109</v>
      </c>
      <c r="L46" s="37">
        <v>109</v>
      </c>
      <c r="M46" s="37">
        <v>109</v>
      </c>
      <c r="N46" s="37">
        <v>109</v>
      </c>
      <c r="O46" s="37">
        <v>109</v>
      </c>
      <c r="P46" s="37">
        <v>109</v>
      </c>
      <c r="Q46" s="37">
        <v>109</v>
      </c>
    </row>
    <row r="47" spans="1:17" ht="42" customHeight="1">
      <c r="A47" s="29" t="s">
        <v>101</v>
      </c>
      <c r="B47" s="1" t="s">
        <v>190</v>
      </c>
      <c r="C47" s="29" t="s">
        <v>166</v>
      </c>
      <c r="D47" s="61">
        <v>0</v>
      </c>
      <c r="E47" s="61">
        <v>0</v>
      </c>
      <c r="F47" s="61">
        <v>0</v>
      </c>
      <c r="G47" s="61">
        <v>0</v>
      </c>
      <c r="H47" s="36">
        <v>23</v>
      </c>
      <c r="I47" s="36">
        <v>23</v>
      </c>
      <c r="J47" s="36">
        <v>23</v>
      </c>
      <c r="K47" s="36">
        <v>23</v>
      </c>
      <c r="L47" s="36">
        <v>23</v>
      </c>
      <c r="M47" s="36">
        <v>23</v>
      </c>
      <c r="N47" s="36">
        <v>23</v>
      </c>
      <c r="O47" s="36">
        <v>23</v>
      </c>
      <c r="P47" s="36">
        <v>23</v>
      </c>
      <c r="Q47" s="36">
        <v>23</v>
      </c>
    </row>
    <row r="48" spans="1:17" ht="29.25" customHeight="1">
      <c r="A48" s="29" t="s">
        <v>102</v>
      </c>
      <c r="B48" s="1" t="s">
        <v>191</v>
      </c>
      <c r="C48" s="29" t="s">
        <v>165</v>
      </c>
      <c r="D48" s="37">
        <v>3973381</v>
      </c>
      <c r="E48" s="37">
        <v>1957366</v>
      </c>
      <c r="F48" s="37">
        <v>1509485.5</v>
      </c>
      <c r="G48" s="37">
        <v>2336348</v>
      </c>
      <c r="H48" s="37">
        <v>1438278</v>
      </c>
      <c r="I48" s="37">
        <v>1182729</v>
      </c>
      <c r="J48" s="37">
        <v>1226563</v>
      </c>
      <c r="K48" s="37">
        <v>1226563</v>
      </c>
      <c r="L48" s="37">
        <v>1226563</v>
      </c>
      <c r="M48" s="37">
        <v>1226563</v>
      </c>
      <c r="N48" s="37">
        <v>1226563</v>
      </c>
      <c r="O48" s="37">
        <v>1226563</v>
      </c>
      <c r="P48" s="37">
        <v>1226563</v>
      </c>
      <c r="Q48" s="37">
        <v>1226563</v>
      </c>
    </row>
    <row r="49" spans="1:17" ht="42.75" customHeight="1">
      <c r="A49" s="29" t="s">
        <v>103</v>
      </c>
      <c r="B49" s="1" t="s">
        <v>192</v>
      </c>
      <c r="C49" s="29" t="s">
        <v>165</v>
      </c>
      <c r="D49" s="37" t="s">
        <v>270</v>
      </c>
      <c r="E49" s="37" t="s">
        <v>270</v>
      </c>
      <c r="F49" s="37" t="s">
        <v>270</v>
      </c>
      <c r="G49" s="37">
        <v>0</v>
      </c>
      <c r="H49" s="37">
        <v>216814.99</v>
      </c>
      <c r="I49" s="37">
        <v>588130.1</v>
      </c>
      <c r="J49" s="37">
        <v>19257.58</v>
      </c>
      <c r="K49" s="37">
        <v>13764.22</v>
      </c>
      <c r="L49" s="37" t="s">
        <v>270</v>
      </c>
      <c r="M49" s="37" t="s">
        <v>270</v>
      </c>
      <c r="N49" s="37" t="s">
        <v>270</v>
      </c>
      <c r="O49" s="37" t="s">
        <v>270</v>
      </c>
      <c r="P49" s="37" t="s">
        <v>270</v>
      </c>
      <c r="Q49" s="37" t="s">
        <v>270</v>
      </c>
    </row>
    <row r="50" spans="1:17" ht="48" customHeight="1">
      <c r="A50" s="29" t="s">
        <v>104</v>
      </c>
      <c r="B50" s="1" t="s">
        <v>65</v>
      </c>
      <c r="C50" s="42" t="s">
        <v>66</v>
      </c>
      <c r="D50" s="37" t="s">
        <v>270</v>
      </c>
      <c r="E50" s="37" t="s">
        <v>270</v>
      </c>
      <c r="F50" s="37" t="s">
        <v>270</v>
      </c>
      <c r="G50" s="37" t="s">
        <v>270</v>
      </c>
      <c r="H50" s="37" t="s">
        <v>270</v>
      </c>
      <c r="I50" s="37" t="s">
        <v>270</v>
      </c>
      <c r="J50" s="37" t="s">
        <v>270</v>
      </c>
      <c r="K50" s="37" t="s">
        <v>270</v>
      </c>
      <c r="L50" s="37" t="s">
        <v>270</v>
      </c>
      <c r="M50" s="37" t="s">
        <v>270</v>
      </c>
      <c r="N50" s="37" t="s">
        <v>270</v>
      </c>
      <c r="O50" s="37" t="s">
        <v>270</v>
      </c>
      <c r="P50" s="37" t="s">
        <v>270</v>
      </c>
      <c r="Q50" s="37" t="s">
        <v>270</v>
      </c>
    </row>
    <row r="51" spans="1:17" ht="46.5" customHeight="1">
      <c r="A51" s="29" t="s">
        <v>105</v>
      </c>
      <c r="B51" s="1" t="s">
        <v>67</v>
      </c>
      <c r="C51" s="42" t="s">
        <v>68</v>
      </c>
      <c r="D51" s="37" t="s">
        <v>270</v>
      </c>
      <c r="E51" s="37" t="s">
        <v>270</v>
      </c>
      <c r="F51" s="37" t="s">
        <v>270</v>
      </c>
      <c r="G51" s="37" t="s">
        <v>270</v>
      </c>
      <c r="H51" s="37" t="s">
        <v>270</v>
      </c>
      <c r="I51" s="37" t="s">
        <v>270</v>
      </c>
      <c r="J51" s="37" t="s">
        <v>270</v>
      </c>
      <c r="K51" s="37" t="s">
        <v>270</v>
      </c>
      <c r="L51" s="37" t="s">
        <v>270</v>
      </c>
      <c r="M51" s="37" t="s">
        <v>270</v>
      </c>
      <c r="N51" s="37" t="s">
        <v>270</v>
      </c>
      <c r="O51" s="37" t="s">
        <v>270</v>
      </c>
      <c r="P51" s="37" t="s">
        <v>270</v>
      </c>
      <c r="Q51" s="37" t="s">
        <v>270</v>
      </c>
    </row>
    <row r="52" spans="1:17" ht="45.75" customHeight="1">
      <c r="A52" s="29" t="s">
        <v>106</v>
      </c>
      <c r="B52" s="1" t="s">
        <v>6</v>
      </c>
      <c r="C52" s="42" t="s">
        <v>5</v>
      </c>
      <c r="D52" s="37">
        <v>18059348.34</v>
      </c>
      <c r="E52" s="37">
        <v>7930946.77</v>
      </c>
      <c r="F52" s="37">
        <v>7773654.35</v>
      </c>
      <c r="G52" s="37">
        <v>10331308.5</v>
      </c>
      <c r="H52" s="37">
        <v>9913660.555254238</v>
      </c>
      <c r="I52" s="37">
        <v>9652870.394316524</v>
      </c>
      <c r="J52" s="37">
        <v>9639557.394316524</v>
      </c>
      <c r="K52" s="37">
        <v>9680643.394316524</v>
      </c>
      <c r="L52" s="37">
        <v>9680643.394316524</v>
      </c>
      <c r="M52" s="37">
        <v>9680643.394316524</v>
      </c>
      <c r="N52" s="37">
        <v>9680643.394316524</v>
      </c>
      <c r="O52" s="37">
        <v>9680643.394316524</v>
      </c>
      <c r="P52" s="37">
        <v>9680643.394316524</v>
      </c>
      <c r="Q52" s="37">
        <v>9680643.394316524</v>
      </c>
    </row>
    <row r="53" spans="1:17" ht="66" customHeight="1">
      <c r="A53" s="29" t="s">
        <v>107</v>
      </c>
      <c r="B53" s="1" t="s">
        <v>7</v>
      </c>
      <c r="C53" s="42" t="s">
        <v>5</v>
      </c>
      <c r="D53" s="37">
        <v>2605835.77</v>
      </c>
      <c r="E53" s="37">
        <v>3891752.51</v>
      </c>
      <c r="F53" s="37">
        <v>5366704.84</v>
      </c>
      <c r="G53" s="37">
        <v>8148060.44</v>
      </c>
      <c r="H53" s="37">
        <v>8349646.335254237</v>
      </c>
      <c r="I53" s="37">
        <v>9652870.394316524</v>
      </c>
      <c r="J53" s="37">
        <v>9639557.394316524</v>
      </c>
      <c r="K53" s="37">
        <v>9680643.394316528</v>
      </c>
      <c r="L53" s="37">
        <v>9680643.394316524</v>
      </c>
      <c r="M53" s="37">
        <v>9680643.394316528</v>
      </c>
      <c r="N53" s="37">
        <v>9680643.394316524</v>
      </c>
      <c r="O53" s="37">
        <v>9680643.394316524</v>
      </c>
      <c r="P53" s="37">
        <v>9680643.394316524</v>
      </c>
      <c r="Q53" s="37">
        <v>9680643.394316524</v>
      </c>
    </row>
    <row r="54" spans="1:17" ht="29.25" customHeight="1">
      <c r="A54" s="29" t="s">
        <v>108</v>
      </c>
      <c r="B54" s="1" t="s">
        <v>8</v>
      </c>
      <c r="C54" s="42" t="s">
        <v>5</v>
      </c>
      <c r="D54" s="37">
        <v>15636021.219999999</v>
      </c>
      <c r="E54" s="37">
        <v>42036702.85</v>
      </c>
      <c r="F54" s="37">
        <v>42128483.88</v>
      </c>
      <c r="G54" s="37">
        <v>42602546.74</v>
      </c>
      <c r="H54" s="37">
        <v>41064427.512846224</v>
      </c>
      <c r="I54" s="37">
        <v>39958786.59803108</v>
      </c>
      <c r="J54" s="37">
        <v>39295916.59803108</v>
      </c>
      <c r="K54" s="37">
        <v>38652931.59803108</v>
      </c>
      <c r="L54" s="37">
        <v>38652931.59803108</v>
      </c>
      <c r="M54" s="37">
        <v>38652931.59803108</v>
      </c>
      <c r="N54" s="37">
        <v>38652931.59803108</v>
      </c>
      <c r="O54" s="37">
        <v>38652931.59803108</v>
      </c>
      <c r="P54" s="37">
        <v>38652931.59803108</v>
      </c>
      <c r="Q54" s="37">
        <v>38652931.59803108</v>
      </c>
    </row>
    <row r="55" spans="1:17" ht="69" customHeight="1">
      <c r="A55" s="29" t="s">
        <v>109</v>
      </c>
      <c r="B55" s="1" t="s">
        <v>9</v>
      </c>
      <c r="C55" s="42" t="s">
        <v>5</v>
      </c>
      <c r="D55" s="52">
        <v>0</v>
      </c>
      <c r="E55" s="52">
        <v>0</v>
      </c>
      <c r="F55" s="37">
        <v>3624346</v>
      </c>
      <c r="G55" s="37">
        <v>15726647</v>
      </c>
      <c r="H55" s="37">
        <v>29691012.10466872</v>
      </c>
      <c r="I55" s="37">
        <v>39958786.59803108</v>
      </c>
      <c r="J55" s="37">
        <v>39295916.59803108</v>
      </c>
      <c r="K55" s="37">
        <v>38652931.59803108</v>
      </c>
      <c r="L55" s="37">
        <v>38652931.59803108</v>
      </c>
      <c r="M55" s="37">
        <v>38652931.59803108</v>
      </c>
      <c r="N55" s="37">
        <v>38652931.59803108</v>
      </c>
      <c r="O55" s="37">
        <v>38652931.59803108</v>
      </c>
      <c r="P55" s="37">
        <v>38652931.59803108</v>
      </c>
      <c r="Q55" s="37">
        <v>38652931.59803108</v>
      </c>
    </row>
    <row r="56" spans="1:17" ht="72" customHeight="1">
      <c r="A56" s="29" t="s">
        <v>110</v>
      </c>
      <c r="B56" s="1" t="s">
        <v>10</v>
      </c>
      <c r="C56" s="42" t="s">
        <v>5</v>
      </c>
      <c r="D56" s="37">
        <v>4389804</v>
      </c>
      <c r="E56" s="37">
        <v>5316210</v>
      </c>
      <c r="F56" s="37">
        <v>33176942.6</v>
      </c>
      <c r="G56" s="37">
        <v>25600199.4</v>
      </c>
      <c r="H56" s="37">
        <v>18199879.750192605</v>
      </c>
      <c r="I56" s="37">
        <v>39958786.59803108</v>
      </c>
      <c r="J56" s="37">
        <v>39295916.59803108</v>
      </c>
      <c r="K56" s="37">
        <v>38652931.59803108</v>
      </c>
      <c r="L56" s="37">
        <v>38652931.59803108</v>
      </c>
      <c r="M56" s="37">
        <v>38652931.59803108</v>
      </c>
      <c r="N56" s="37">
        <v>38652931.59803108</v>
      </c>
      <c r="O56" s="37">
        <v>38652931.59803108</v>
      </c>
      <c r="P56" s="37">
        <v>38652931.59803108</v>
      </c>
      <c r="Q56" s="37">
        <v>38652931.59803108</v>
      </c>
    </row>
    <row r="57" spans="1:17" ht="32.25" customHeight="1">
      <c r="A57" s="29" t="s">
        <v>111</v>
      </c>
      <c r="B57" s="1" t="s">
        <v>11</v>
      </c>
      <c r="C57" s="42" t="s">
        <v>31</v>
      </c>
      <c r="D57" s="37">
        <v>111550.82900000001</v>
      </c>
      <c r="E57" s="37">
        <v>116456.162</v>
      </c>
      <c r="F57" s="37">
        <v>104353.56999999999</v>
      </c>
      <c r="G57" s="37">
        <v>89087.6484</v>
      </c>
      <c r="H57" s="37">
        <v>102718.5752804</v>
      </c>
      <c r="I57" s="37">
        <v>110729.0284</v>
      </c>
      <c r="J57" s="37">
        <v>108826.02279887571</v>
      </c>
      <c r="K57" s="37">
        <v>107095.30535472446</v>
      </c>
      <c r="L57" s="37">
        <v>106690.15350027675</v>
      </c>
      <c r="M57" s="37">
        <v>106292.27446419765</v>
      </c>
      <c r="N57" s="37">
        <v>105901.3880250221</v>
      </c>
      <c r="O57" s="37">
        <v>105525.3182940402</v>
      </c>
      <c r="P57" s="37">
        <v>105151.58160640688</v>
      </c>
      <c r="Q57" s="37">
        <v>104787.99698668216</v>
      </c>
    </row>
    <row r="58" spans="1:17" ht="61.5" customHeight="1">
      <c r="A58" s="29" t="s">
        <v>112</v>
      </c>
      <c r="B58" s="1" t="s">
        <v>12</v>
      </c>
      <c r="C58" s="42" t="s">
        <v>31</v>
      </c>
      <c r="D58" s="37">
        <v>240</v>
      </c>
      <c r="E58" s="37">
        <v>1238.04</v>
      </c>
      <c r="F58" s="37">
        <v>2037.311</v>
      </c>
      <c r="G58" s="37">
        <v>2699.98</v>
      </c>
      <c r="H58" s="37">
        <v>3135.5689359999997</v>
      </c>
      <c r="I58" s="37">
        <v>3235.0491608351995</v>
      </c>
      <c r="J58" s="37">
        <v>3208.646739373631</v>
      </c>
      <c r="K58" s="37">
        <v>3183.5061839407454</v>
      </c>
      <c r="L58" s="37">
        <v>3196.299781557089</v>
      </c>
      <c r="M58" s="37">
        <v>3209.024459896923</v>
      </c>
      <c r="N58" s="37">
        <v>3221.67714334615</v>
      </c>
      <c r="O58" s="37">
        <v>3234.594689635581</v>
      </c>
      <c r="P58" s="37">
        <v>3247.267890338884</v>
      </c>
      <c r="Q58" s="37">
        <v>3260.034872727392</v>
      </c>
    </row>
    <row r="59" spans="1:17" ht="27.75" customHeight="1">
      <c r="A59" s="29" t="s">
        <v>113</v>
      </c>
      <c r="B59" s="1" t="s">
        <v>13</v>
      </c>
      <c r="C59" s="42" t="s">
        <v>31</v>
      </c>
      <c r="D59" s="37">
        <v>244765.169</v>
      </c>
      <c r="E59" s="37">
        <v>247015.239</v>
      </c>
      <c r="F59" s="37">
        <v>226478.55800000005</v>
      </c>
      <c r="G59" s="37">
        <v>234994.6076</v>
      </c>
      <c r="H59" s="37">
        <v>241927.26971960004</v>
      </c>
      <c r="I59" s="37">
        <v>235490.04959999997</v>
      </c>
      <c r="J59" s="37">
        <v>232306.9410834772</v>
      </c>
      <c r="K59" s="37">
        <v>229211.1544899357</v>
      </c>
      <c r="L59" s="37">
        <v>229006.04142280013</v>
      </c>
      <c r="M59" s="37">
        <v>228807.4878215166</v>
      </c>
      <c r="N59" s="37">
        <v>228807.4878215166</v>
      </c>
      <c r="O59" s="37">
        <v>228421.524285399</v>
      </c>
      <c r="P59" s="37">
        <v>228238.03417137085</v>
      </c>
      <c r="Q59" s="37">
        <v>228056.74349038204</v>
      </c>
    </row>
    <row r="60" spans="1:17" ht="68.25" customHeight="1">
      <c r="A60" s="29" t="s">
        <v>114</v>
      </c>
      <c r="B60" s="1" t="s">
        <v>14</v>
      </c>
      <c r="C60" s="42" t="s">
        <v>31</v>
      </c>
      <c r="D60" s="37">
        <v>851.73</v>
      </c>
      <c r="E60" s="37">
        <v>3148.96</v>
      </c>
      <c r="F60" s="37">
        <v>5993.29</v>
      </c>
      <c r="G60" s="37">
        <v>12142.818</v>
      </c>
      <c r="H60" s="37">
        <v>36841.6730598</v>
      </c>
      <c r="I60" s="37">
        <v>57869.663</v>
      </c>
      <c r="J60" s="37">
        <v>57569.663</v>
      </c>
      <c r="K60" s="37">
        <v>56439.90788993572</v>
      </c>
      <c r="L60" s="37">
        <v>56586.864822800155</v>
      </c>
      <c r="M60" s="37">
        <v>56740.381221516625</v>
      </c>
      <c r="N60" s="37">
        <v>56740.381221516625</v>
      </c>
      <c r="O60" s="37">
        <v>57058.55768539903</v>
      </c>
      <c r="P60" s="37">
        <v>57227.137571370884</v>
      </c>
      <c r="Q60" s="37">
        <v>57397.916890382054</v>
      </c>
    </row>
    <row r="61" spans="1:17" ht="45" customHeight="1">
      <c r="A61" s="29" t="s">
        <v>115</v>
      </c>
      <c r="B61" s="1" t="s">
        <v>15</v>
      </c>
      <c r="C61" s="42" t="s">
        <v>32</v>
      </c>
      <c r="D61" s="37">
        <v>537605.6050000001</v>
      </c>
      <c r="E61" s="37">
        <f>500582.965-2774.34</f>
        <v>497808.625</v>
      </c>
      <c r="F61" s="37">
        <f>490727.162-2650.9</f>
        <v>488076.262</v>
      </c>
      <c r="G61" s="37">
        <f>512664.478-2631.7</f>
        <v>510032.778</v>
      </c>
      <c r="H61" s="37">
        <f>532684</f>
        <v>532684</v>
      </c>
      <c r="I61" s="37">
        <v>544661.988</v>
      </c>
      <c r="J61" s="37">
        <v>544661.988</v>
      </c>
      <c r="K61" s="37">
        <v>544661.988</v>
      </c>
      <c r="L61" s="37">
        <v>544661.988</v>
      </c>
      <c r="M61" s="37">
        <v>544661.988</v>
      </c>
      <c r="N61" s="37">
        <v>544661.988</v>
      </c>
      <c r="O61" s="37">
        <v>544661.988</v>
      </c>
      <c r="P61" s="37">
        <v>544661.988</v>
      </c>
      <c r="Q61" s="37">
        <v>544661.988</v>
      </c>
    </row>
    <row r="62" spans="1:17" ht="72.75" customHeight="1">
      <c r="A62" s="29" t="s">
        <v>116</v>
      </c>
      <c r="B62" s="1" t="s">
        <v>16</v>
      </c>
      <c r="C62" s="42" t="s">
        <v>32</v>
      </c>
      <c r="D62" s="37">
        <v>26425.5</v>
      </c>
      <c r="E62" s="37">
        <v>76684.1</v>
      </c>
      <c r="F62" s="37">
        <v>109946.25</v>
      </c>
      <c r="G62" s="37">
        <v>132199.52</v>
      </c>
      <c r="H62" s="37">
        <v>298127</v>
      </c>
      <c r="I62" s="37">
        <f aca="true" t="shared" si="1" ref="I62:Q62">544661.988-2631.7</f>
        <v>542030.2880000001</v>
      </c>
      <c r="J62" s="37">
        <f t="shared" si="1"/>
        <v>542030.2880000001</v>
      </c>
      <c r="K62" s="37">
        <f t="shared" si="1"/>
        <v>542030.2880000001</v>
      </c>
      <c r="L62" s="37">
        <f t="shared" si="1"/>
        <v>542030.2880000001</v>
      </c>
      <c r="M62" s="37">
        <f t="shared" si="1"/>
        <v>542030.2880000001</v>
      </c>
      <c r="N62" s="37">
        <f t="shared" si="1"/>
        <v>542030.2880000001</v>
      </c>
      <c r="O62" s="37">
        <f t="shared" si="1"/>
        <v>542030.2880000001</v>
      </c>
      <c r="P62" s="37">
        <f t="shared" si="1"/>
        <v>542030.2880000001</v>
      </c>
      <c r="Q62" s="37">
        <f t="shared" si="1"/>
        <v>542030.2880000001</v>
      </c>
    </row>
    <row r="63" spans="1:17" ht="42" customHeight="1">
      <c r="A63" s="29" t="s">
        <v>117</v>
      </c>
      <c r="B63" s="1" t="s">
        <v>17</v>
      </c>
      <c r="C63" s="42" t="s">
        <v>32</v>
      </c>
      <c r="D63" s="37">
        <v>1423145.905</v>
      </c>
      <c r="E63" s="37">
        <v>1342736.6500000001</v>
      </c>
      <c r="F63" s="37">
        <v>1293411.3779999998</v>
      </c>
      <c r="G63" s="37">
        <v>1336049.682</v>
      </c>
      <c r="H63" s="37">
        <v>1456449.269669903</v>
      </c>
      <c r="I63" s="37">
        <v>1456449.269669903</v>
      </c>
      <c r="J63" s="37">
        <v>1456449.269669903</v>
      </c>
      <c r="K63" s="37">
        <v>1456449.269669903</v>
      </c>
      <c r="L63" s="37">
        <v>1456449.269669903</v>
      </c>
      <c r="M63" s="37">
        <v>1456449.269669903</v>
      </c>
      <c r="N63" s="37">
        <v>1456449.269669903</v>
      </c>
      <c r="O63" s="37">
        <v>1456449.269669903</v>
      </c>
      <c r="P63" s="37">
        <v>1456449.269669903</v>
      </c>
      <c r="Q63" s="37">
        <v>1456449.269669903</v>
      </c>
    </row>
    <row r="64" spans="1:17" ht="64.5" customHeight="1">
      <c r="A64" s="29" t="s">
        <v>118</v>
      </c>
      <c r="B64" s="1" t="s">
        <v>18</v>
      </c>
      <c r="C64" s="42" t="s">
        <v>32</v>
      </c>
      <c r="D64" s="52">
        <v>0</v>
      </c>
      <c r="E64" s="37">
        <v>111873.92</v>
      </c>
      <c r="F64" s="37">
        <v>114335.67</v>
      </c>
      <c r="G64" s="37">
        <v>136715.57</v>
      </c>
      <c r="H64" s="37">
        <v>598836.7088349514</v>
      </c>
      <c r="I64" s="37">
        <v>1456449.269669903</v>
      </c>
      <c r="J64" s="37">
        <v>1456449.269669903</v>
      </c>
      <c r="K64" s="37">
        <v>1456449.269669903</v>
      </c>
      <c r="L64" s="37">
        <v>1456449.269669903</v>
      </c>
      <c r="M64" s="37">
        <v>1456449.269669903</v>
      </c>
      <c r="N64" s="37">
        <v>1456449.269669903</v>
      </c>
      <c r="O64" s="37">
        <v>1456449.269669903</v>
      </c>
      <c r="P64" s="37">
        <v>1456449.269669903</v>
      </c>
      <c r="Q64" s="37">
        <v>1456449.269669903</v>
      </c>
    </row>
    <row r="65" spans="1:17" ht="65.25" customHeight="1">
      <c r="A65" s="29" t="s">
        <v>119</v>
      </c>
      <c r="B65" s="1" t="s">
        <v>19</v>
      </c>
      <c r="C65" s="42" t="s">
        <v>32</v>
      </c>
      <c r="D65" s="37">
        <v>15380</v>
      </c>
      <c r="E65" s="37">
        <v>30573.940000000002</v>
      </c>
      <c r="F65" s="37">
        <v>102744.72</v>
      </c>
      <c r="G65" s="37">
        <v>227494.72</v>
      </c>
      <c r="H65" s="37">
        <v>581038.0776699029</v>
      </c>
      <c r="I65" s="37">
        <v>1456449.269669903</v>
      </c>
      <c r="J65" s="37">
        <v>1456449.269669903</v>
      </c>
      <c r="K65" s="37">
        <v>1456449.269669903</v>
      </c>
      <c r="L65" s="37">
        <v>1456449.269669903</v>
      </c>
      <c r="M65" s="37">
        <v>1456449.269669903</v>
      </c>
      <c r="N65" s="37">
        <v>1456449.269669903</v>
      </c>
      <c r="O65" s="37">
        <v>1456449.269669903</v>
      </c>
      <c r="P65" s="37">
        <v>1456449.269669903</v>
      </c>
      <c r="Q65" s="37">
        <v>1456449.269669903</v>
      </c>
    </row>
    <row r="66" spans="1:17" ht="42" customHeight="1">
      <c r="A66" s="29" t="s">
        <v>120</v>
      </c>
      <c r="B66" s="1" t="s">
        <v>20</v>
      </c>
      <c r="C66" s="42" t="s">
        <v>33</v>
      </c>
      <c r="D66" s="37">
        <v>2087.4</v>
      </c>
      <c r="E66" s="37">
        <v>2150.2</v>
      </c>
      <c r="F66" s="37">
        <v>2627.56</v>
      </c>
      <c r="G66" s="37">
        <v>2760.56</v>
      </c>
      <c r="H66" s="37">
        <v>2893.56</v>
      </c>
      <c r="I66" s="37">
        <v>3039.83</v>
      </c>
      <c r="J66" s="37">
        <v>3189.83</v>
      </c>
      <c r="K66" s="37">
        <v>3347.83</v>
      </c>
      <c r="L66" s="37">
        <v>3512.83</v>
      </c>
      <c r="M66" s="37">
        <v>3666.83</v>
      </c>
      <c r="N66" s="37">
        <v>3868.83</v>
      </c>
      <c r="O66" s="37">
        <v>4152.83</v>
      </c>
      <c r="P66" s="37">
        <v>4300.83</v>
      </c>
      <c r="Q66" s="37">
        <v>4266</v>
      </c>
    </row>
    <row r="67" spans="1:17" ht="69.75" customHeight="1">
      <c r="A67" s="29" t="s">
        <v>121</v>
      </c>
      <c r="B67" s="1" t="s">
        <v>21</v>
      </c>
      <c r="C67" s="42" t="s">
        <v>33</v>
      </c>
      <c r="D67" s="37">
        <v>2026</v>
      </c>
      <c r="E67" s="37">
        <v>2072.3</v>
      </c>
      <c r="F67" s="37">
        <v>2500.2</v>
      </c>
      <c r="G67" s="37">
        <v>2624.2</v>
      </c>
      <c r="H67" s="37">
        <v>2754.2</v>
      </c>
      <c r="I67" s="37">
        <v>3039.83</v>
      </c>
      <c r="J67" s="37">
        <v>3189.83</v>
      </c>
      <c r="K67" s="37">
        <v>3347.83</v>
      </c>
      <c r="L67" s="37">
        <v>3512.83</v>
      </c>
      <c r="M67" s="37">
        <v>3666.83</v>
      </c>
      <c r="N67" s="37">
        <v>3868.83</v>
      </c>
      <c r="O67" s="37">
        <v>4152.83</v>
      </c>
      <c r="P67" s="37">
        <v>4300.83</v>
      </c>
      <c r="Q67" s="37">
        <v>4300.83</v>
      </c>
    </row>
    <row r="68" spans="1:17" ht="40.5" customHeight="1">
      <c r="A68" s="29" t="s">
        <v>122</v>
      </c>
      <c r="B68" s="1" t="s">
        <v>22</v>
      </c>
      <c r="C68" s="42" t="s">
        <v>33</v>
      </c>
      <c r="D68" s="37">
        <v>3064.52</v>
      </c>
      <c r="E68" s="37">
        <v>3238.64</v>
      </c>
      <c r="F68" s="37">
        <v>3285.688</v>
      </c>
      <c r="G68" s="37">
        <v>3450.6580000000004</v>
      </c>
      <c r="H68" s="37">
        <v>3580.8864999999996</v>
      </c>
      <c r="I68" s="37">
        <v>3986.8</v>
      </c>
      <c r="J68" s="37">
        <v>4139.38</v>
      </c>
      <c r="K68" s="37">
        <v>4292.08</v>
      </c>
      <c r="L68" s="37">
        <v>4194.93</v>
      </c>
      <c r="M68" s="37">
        <v>4702.91</v>
      </c>
      <c r="N68" s="37">
        <v>4718.226425</v>
      </c>
      <c r="O68" s="37">
        <v>4835.05</v>
      </c>
      <c r="P68" s="37">
        <v>4940.34</v>
      </c>
      <c r="Q68" s="37">
        <v>4940.34</v>
      </c>
    </row>
    <row r="69" spans="1:17" ht="81" customHeight="1">
      <c r="A69" s="29" t="s">
        <v>123</v>
      </c>
      <c r="B69" s="1" t="s">
        <v>23</v>
      </c>
      <c r="C69" s="42" t="s">
        <v>33</v>
      </c>
      <c r="D69" s="37">
        <v>3</v>
      </c>
      <c r="E69" s="37">
        <v>39</v>
      </c>
      <c r="F69" s="37">
        <v>47</v>
      </c>
      <c r="G69" s="37">
        <v>106</v>
      </c>
      <c r="H69" s="37">
        <v>970.4492500000001</v>
      </c>
      <c r="I69" s="37">
        <v>3986.8</v>
      </c>
      <c r="J69" s="37">
        <v>4139.38</v>
      </c>
      <c r="K69" s="37">
        <v>4292.08</v>
      </c>
      <c r="L69" s="37">
        <v>4194.93</v>
      </c>
      <c r="M69" s="37">
        <v>4702.91</v>
      </c>
      <c r="N69" s="37">
        <v>4718.226425</v>
      </c>
      <c r="O69" s="37">
        <v>4835.05</v>
      </c>
      <c r="P69" s="37">
        <v>4940.34</v>
      </c>
      <c r="Q69" s="37">
        <v>4940.34</v>
      </c>
    </row>
    <row r="70" spans="1:17" ht="26.25" customHeight="1">
      <c r="A70" s="29" t="s">
        <v>124</v>
      </c>
      <c r="B70" s="1" t="s">
        <v>132</v>
      </c>
      <c r="C70" s="42" t="s">
        <v>133</v>
      </c>
      <c r="D70" s="37">
        <v>2556</v>
      </c>
      <c r="E70" s="37">
        <v>2595</v>
      </c>
      <c r="F70" s="37">
        <v>2678</v>
      </c>
      <c r="G70" s="37">
        <v>2685</v>
      </c>
      <c r="H70" s="37">
        <v>2742</v>
      </c>
      <c r="I70" s="37">
        <v>2804</v>
      </c>
      <c r="J70" s="37">
        <v>2852</v>
      </c>
      <c r="K70" s="37">
        <v>2898</v>
      </c>
      <c r="L70" s="37">
        <v>2947</v>
      </c>
      <c r="M70" s="37">
        <v>2991</v>
      </c>
      <c r="N70" s="37">
        <v>3036</v>
      </c>
      <c r="O70" s="37">
        <v>3083</v>
      </c>
      <c r="P70" s="37">
        <v>3132</v>
      </c>
      <c r="Q70" s="37">
        <v>3178</v>
      </c>
    </row>
    <row r="71" spans="1:17" ht="37.5" customHeight="1">
      <c r="A71" s="29" t="s">
        <v>125</v>
      </c>
      <c r="B71" s="1" t="s">
        <v>134</v>
      </c>
      <c r="C71" s="42" t="s">
        <v>133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52">
        <v>0</v>
      </c>
      <c r="P71" s="52">
        <v>0</v>
      </c>
      <c r="Q71" s="52">
        <v>0</v>
      </c>
    </row>
    <row r="72" spans="1:17" ht="74.25" customHeight="1">
      <c r="A72" s="29" t="s">
        <v>126</v>
      </c>
      <c r="B72" s="1" t="s">
        <v>24</v>
      </c>
      <c r="C72" s="42" t="s">
        <v>34</v>
      </c>
      <c r="D72" s="37">
        <v>3045.77</v>
      </c>
      <c r="E72" s="37">
        <v>3308.3</v>
      </c>
      <c r="F72" s="37">
        <v>34023.659999999996</v>
      </c>
      <c r="G72" s="37">
        <v>70849.18</v>
      </c>
      <c r="H72" s="37">
        <v>118548.82</v>
      </c>
      <c r="I72" s="37">
        <v>163944.70000000004</v>
      </c>
      <c r="J72" s="37">
        <v>169738.76000000004</v>
      </c>
      <c r="K72" s="37">
        <v>178429.84000000003</v>
      </c>
      <c r="L72" s="37">
        <v>191466.47000000003</v>
      </c>
      <c r="M72" s="37">
        <v>211021.41000000003</v>
      </c>
      <c r="N72" s="37">
        <v>240353.81000000003</v>
      </c>
      <c r="O72" s="37">
        <v>284352.43</v>
      </c>
      <c r="P72" s="37">
        <v>350350.35</v>
      </c>
      <c r="Q72" s="37">
        <v>449347.22</v>
      </c>
    </row>
    <row r="73" spans="1:17" ht="55.5" customHeight="1">
      <c r="A73" s="29" t="s">
        <v>127</v>
      </c>
      <c r="B73" s="1" t="s">
        <v>25</v>
      </c>
      <c r="C73" s="42" t="s">
        <v>34</v>
      </c>
      <c r="D73" s="37">
        <v>192392</v>
      </c>
      <c r="E73" s="37">
        <v>193714.98</v>
      </c>
      <c r="F73" s="37">
        <v>196728.41</v>
      </c>
      <c r="G73" s="37">
        <v>174796.86</v>
      </c>
      <c r="H73" s="37">
        <v>143961.07</v>
      </c>
      <c r="I73" s="37">
        <v>143961.07</v>
      </c>
      <c r="J73" s="37">
        <v>143961.07</v>
      </c>
      <c r="K73" s="37">
        <v>143961.07</v>
      </c>
      <c r="L73" s="37">
        <v>143961.07</v>
      </c>
      <c r="M73" s="37">
        <v>143961.07</v>
      </c>
      <c r="N73" s="37">
        <v>143961.07</v>
      </c>
      <c r="O73" s="37">
        <v>143961.07</v>
      </c>
      <c r="P73" s="37">
        <v>143961.07</v>
      </c>
      <c r="Q73" s="37">
        <v>143961.07</v>
      </c>
    </row>
    <row r="74" spans="1:17" ht="69.75" customHeight="1">
      <c r="A74" s="29" t="s">
        <v>128</v>
      </c>
      <c r="B74" s="1" t="s">
        <v>193</v>
      </c>
      <c r="C74" s="42" t="s">
        <v>34</v>
      </c>
      <c r="D74" s="37">
        <f>D76-4225.88-7014</f>
        <v>17049.82</v>
      </c>
      <c r="E74" s="37">
        <f aca="true" t="shared" si="2" ref="E74:Q74">E76-4225.88-7014</f>
        <v>43633.62</v>
      </c>
      <c r="F74" s="37">
        <f t="shared" si="2"/>
        <v>278079.30000000005</v>
      </c>
      <c r="G74" s="37">
        <f t="shared" si="2"/>
        <v>400678.67</v>
      </c>
      <c r="H74" s="37">
        <f t="shared" si="2"/>
        <v>982623.42</v>
      </c>
      <c r="I74" s="37">
        <f t="shared" si="2"/>
        <v>984223.42</v>
      </c>
      <c r="J74" s="37">
        <f t="shared" si="2"/>
        <v>985823.42</v>
      </c>
      <c r="K74" s="37">
        <f t="shared" si="2"/>
        <v>987423.42</v>
      </c>
      <c r="L74" s="37">
        <f t="shared" si="2"/>
        <v>989023.42</v>
      </c>
      <c r="M74" s="37">
        <f t="shared" si="2"/>
        <v>990623.42</v>
      </c>
      <c r="N74" s="37">
        <f t="shared" si="2"/>
        <v>992223.42</v>
      </c>
      <c r="O74" s="37">
        <f t="shared" si="2"/>
        <v>993823.42</v>
      </c>
      <c r="P74" s="37">
        <f t="shared" si="2"/>
        <v>995423.42</v>
      </c>
      <c r="Q74" s="37">
        <f t="shared" si="2"/>
        <v>997023.42</v>
      </c>
    </row>
    <row r="75" spans="1:17" ht="42" customHeight="1">
      <c r="A75" s="29" t="s">
        <v>129</v>
      </c>
      <c r="B75" s="1" t="s">
        <v>26</v>
      </c>
      <c r="C75" s="42" t="s">
        <v>34</v>
      </c>
      <c r="D75" s="37">
        <v>33612.04</v>
      </c>
      <c r="E75" s="37">
        <v>33545.74</v>
      </c>
      <c r="F75" s="37">
        <v>168340.28000000003</v>
      </c>
      <c r="G75" s="37">
        <v>160697.65</v>
      </c>
      <c r="H75" s="37">
        <v>117932.29</v>
      </c>
      <c r="I75" s="52">
        <f>4225.88+7014</f>
        <v>11239.880000000001</v>
      </c>
      <c r="J75" s="52">
        <f aca="true" t="shared" si="3" ref="J75:Q75">4225.88+7014</f>
        <v>11239.880000000001</v>
      </c>
      <c r="K75" s="52">
        <f t="shared" si="3"/>
        <v>11239.880000000001</v>
      </c>
      <c r="L75" s="52">
        <f t="shared" si="3"/>
        <v>11239.880000000001</v>
      </c>
      <c r="M75" s="52">
        <f t="shared" si="3"/>
        <v>11239.880000000001</v>
      </c>
      <c r="N75" s="52">
        <f t="shared" si="3"/>
        <v>11239.880000000001</v>
      </c>
      <c r="O75" s="52">
        <f t="shared" si="3"/>
        <v>11239.880000000001</v>
      </c>
      <c r="P75" s="52">
        <f t="shared" si="3"/>
        <v>11239.880000000001</v>
      </c>
      <c r="Q75" s="52">
        <f t="shared" si="3"/>
        <v>11239.880000000001</v>
      </c>
    </row>
    <row r="76" spans="1:17" ht="72" customHeight="1">
      <c r="A76" s="29" t="s">
        <v>130</v>
      </c>
      <c r="B76" s="1" t="s">
        <v>27</v>
      </c>
      <c r="C76" s="42" t="s">
        <v>34</v>
      </c>
      <c r="D76" s="37">
        <v>28289.7</v>
      </c>
      <c r="E76" s="37">
        <v>54873.5</v>
      </c>
      <c r="F76" s="37">
        <v>289319.18000000005</v>
      </c>
      <c r="G76" s="37">
        <v>411918.55</v>
      </c>
      <c r="H76" s="37">
        <f>483702.48+510160.82</f>
        <v>993863.3</v>
      </c>
      <c r="I76" s="37">
        <f>483702.48+510160.82+1600</f>
        <v>995463.3</v>
      </c>
      <c r="J76" s="37">
        <f>483702.48+510160.82+1600+1600</f>
        <v>997063.3</v>
      </c>
      <c r="K76" s="37">
        <f>483702.48+510160.82+1600+1600+1600</f>
        <v>998663.3</v>
      </c>
      <c r="L76" s="37">
        <f>483702.48+510160.82+1600+1600+1600+1600</f>
        <v>1000263.3</v>
      </c>
      <c r="M76" s="37">
        <f>483702.48+510160.82+1600+1600+1600+1600+1600</f>
        <v>1001863.3</v>
      </c>
      <c r="N76" s="37">
        <f>483702.48+510160.82+1600+1600+1600+1600+1600+1600</f>
        <v>1003463.3</v>
      </c>
      <c r="O76" s="37">
        <f>483702.48+510160.82+1600+1600+1600+1600+1600+1600+1600</f>
        <v>1005063.3</v>
      </c>
      <c r="P76" s="37">
        <f>483702.48+510160.82+1600+1600+1600+1600+1600+1600+1600+1600</f>
        <v>1006663.3</v>
      </c>
      <c r="Q76" s="37">
        <f>483702.48+510160.82+1600+1600+1600+1600+1600+1600+1600+1600+1600</f>
        <v>1008263.3</v>
      </c>
    </row>
    <row r="77" spans="1:17" ht="53.25" customHeight="1">
      <c r="A77" s="29" t="s">
        <v>131</v>
      </c>
      <c r="B77" s="1" t="s">
        <v>28</v>
      </c>
      <c r="C77" s="42" t="s">
        <v>34</v>
      </c>
      <c r="D77" s="37">
        <v>1994</v>
      </c>
      <c r="E77" s="37">
        <v>1994</v>
      </c>
      <c r="F77" s="37">
        <v>888.2</v>
      </c>
      <c r="G77" s="37">
        <v>346.7</v>
      </c>
      <c r="H77" s="37">
        <v>346.7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0</v>
      </c>
      <c r="O77" s="52">
        <v>0</v>
      </c>
      <c r="P77" s="52">
        <v>0</v>
      </c>
      <c r="Q77" s="52">
        <v>0</v>
      </c>
    </row>
    <row r="78" spans="1:17" ht="81.75" customHeight="1">
      <c r="A78" s="29" t="s">
        <v>135</v>
      </c>
      <c r="B78" s="1" t="s">
        <v>29</v>
      </c>
      <c r="C78" s="42" t="s">
        <v>34</v>
      </c>
      <c r="D78" s="61">
        <v>0</v>
      </c>
      <c r="E78" s="37">
        <v>26642</v>
      </c>
      <c r="F78" s="37">
        <v>37508.76</v>
      </c>
      <c r="G78" s="37">
        <v>56477.630000000005</v>
      </c>
      <c r="H78" s="37">
        <v>81963.53850000001</v>
      </c>
      <c r="I78" s="37">
        <f>106889.617425+153326.4</f>
        <v>260216.017425</v>
      </c>
      <c r="J78" s="37">
        <f>131831.83529625+142446</f>
        <v>274277.83529625</v>
      </c>
      <c r="K78" s="37">
        <f>148589.999061062+123016.9</f>
        <v>271606.899061062</v>
      </c>
      <c r="L78" s="37">
        <f>157164.856014116+98413.6</f>
        <v>255578.456014116</v>
      </c>
      <c r="M78" s="37">
        <f>173959.895814821+73810.3</f>
        <v>247770.195814821</v>
      </c>
      <c r="N78" s="37">
        <f>57408+190773.652605562</f>
        <v>248181.652605562</v>
      </c>
      <c r="O78" s="37">
        <f>199407.307235841+49206.8</f>
        <v>248614.107235841</v>
      </c>
      <c r="P78" s="37">
        <f>203861.489597633+32804.1</f>
        <v>236665.589597633</v>
      </c>
      <c r="Q78" s="37">
        <f>16402.3+44039.9895976326</f>
        <v>60442.289597632596</v>
      </c>
    </row>
    <row r="79" spans="1:17" ht="63.75">
      <c r="A79" s="29" t="s">
        <v>136</v>
      </c>
      <c r="B79" s="1" t="s">
        <v>30</v>
      </c>
      <c r="C79" s="42" t="s">
        <v>34</v>
      </c>
      <c r="D79" s="37">
        <v>407.8</v>
      </c>
      <c r="E79" s="37">
        <v>407.8</v>
      </c>
      <c r="F79" s="37">
        <v>153386.5</v>
      </c>
      <c r="G79" s="37">
        <v>154245.5</v>
      </c>
      <c r="H79" s="37">
        <v>154245.5</v>
      </c>
      <c r="I79" s="52">
        <v>0</v>
      </c>
      <c r="J79" s="52">
        <v>0</v>
      </c>
      <c r="K79" s="52">
        <v>0</v>
      </c>
      <c r="L79" s="52">
        <v>0</v>
      </c>
      <c r="M79" s="52">
        <v>0</v>
      </c>
      <c r="N79" s="52">
        <v>0</v>
      </c>
      <c r="O79" s="52">
        <v>0</v>
      </c>
      <c r="P79" s="52">
        <v>0</v>
      </c>
      <c r="Q79" s="52">
        <v>0</v>
      </c>
    </row>
    <row r="80" spans="1:17" ht="25.5">
      <c r="A80" s="29" t="s">
        <v>137</v>
      </c>
      <c r="B80" s="1" t="s">
        <v>146</v>
      </c>
      <c r="C80" s="42" t="s">
        <v>155</v>
      </c>
      <c r="D80" s="37" t="s">
        <v>270</v>
      </c>
      <c r="E80" s="37" t="s">
        <v>270</v>
      </c>
      <c r="F80" s="37" t="s">
        <v>270</v>
      </c>
      <c r="G80" s="37" t="s">
        <v>270</v>
      </c>
      <c r="H80" s="37" t="s">
        <v>270</v>
      </c>
      <c r="I80" s="37" t="s">
        <v>270</v>
      </c>
      <c r="J80" s="37" t="s">
        <v>270</v>
      </c>
      <c r="K80" s="37" t="s">
        <v>270</v>
      </c>
      <c r="L80" s="37" t="s">
        <v>270</v>
      </c>
      <c r="M80" s="37" t="s">
        <v>270</v>
      </c>
      <c r="N80" s="37" t="s">
        <v>270</v>
      </c>
      <c r="O80" s="37" t="s">
        <v>270</v>
      </c>
      <c r="P80" s="37" t="s">
        <v>270</v>
      </c>
      <c r="Q80" s="37" t="s">
        <v>270</v>
      </c>
    </row>
    <row r="81" spans="1:17" ht="21.75" customHeight="1">
      <c r="A81" s="29" t="s">
        <v>138</v>
      </c>
      <c r="B81" s="1" t="s">
        <v>145</v>
      </c>
      <c r="C81" s="42" t="s">
        <v>154</v>
      </c>
      <c r="D81" s="37">
        <v>0.18</v>
      </c>
      <c r="E81" s="37">
        <v>0.171</v>
      </c>
      <c r="F81" s="37">
        <v>0.2</v>
      </c>
      <c r="G81" s="37">
        <v>0.191</v>
      </c>
      <c r="H81" s="37">
        <v>0.162</v>
      </c>
      <c r="I81" s="37">
        <v>0.162</v>
      </c>
      <c r="J81" s="37">
        <v>0.162</v>
      </c>
      <c r="K81" s="37">
        <v>0.162</v>
      </c>
      <c r="L81" s="37">
        <v>0.162</v>
      </c>
      <c r="M81" s="37">
        <v>0.162</v>
      </c>
      <c r="N81" s="37">
        <v>0.162</v>
      </c>
      <c r="O81" s="37">
        <v>0.162</v>
      </c>
      <c r="P81" s="37">
        <v>0.162</v>
      </c>
      <c r="Q81" s="37">
        <v>0.162</v>
      </c>
    </row>
    <row r="82" spans="1:17" ht="25.5">
      <c r="A82" s="29" t="s">
        <v>139</v>
      </c>
      <c r="B82" s="1" t="s">
        <v>147</v>
      </c>
      <c r="C82" s="42" t="s">
        <v>153</v>
      </c>
      <c r="D82" s="37">
        <v>29008160</v>
      </c>
      <c r="E82" s="37">
        <v>29106670</v>
      </c>
      <c r="F82" s="37">
        <v>36706850</v>
      </c>
      <c r="G82" s="37">
        <v>36572654</v>
      </c>
      <c r="H82" s="37">
        <v>33059230</v>
      </c>
      <c r="I82" s="37">
        <v>33059230</v>
      </c>
      <c r="J82" s="37">
        <v>33059230</v>
      </c>
      <c r="K82" s="37">
        <v>33059230</v>
      </c>
      <c r="L82" s="37">
        <v>33059230</v>
      </c>
      <c r="M82" s="37">
        <v>33059230</v>
      </c>
      <c r="N82" s="37">
        <v>33059230</v>
      </c>
      <c r="O82" s="37">
        <v>33059230</v>
      </c>
      <c r="P82" s="37">
        <v>33059230</v>
      </c>
      <c r="Q82" s="37">
        <v>33059230</v>
      </c>
    </row>
    <row r="83" spans="1:17" ht="24.75" customHeight="1">
      <c r="A83" s="29" t="s">
        <v>140</v>
      </c>
      <c r="B83" s="1" t="s">
        <v>148</v>
      </c>
      <c r="C83" s="42" t="s">
        <v>31</v>
      </c>
      <c r="D83" s="37">
        <v>90943.449</v>
      </c>
      <c r="E83" s="37">
        <v>113903.979</v>
      </c>
      <c r="F83" s="37">
        <v>124305.855</v>
      </c>
      <c r="G83" s="37">
        <v>124990.094</v>
      </c>
      <c r="H83" s="37">
        <v>124202</v>
      </c>
      <c r="I83" s="37">
        <v>121987.51</v>
      </c>
      <c r="J83" s="37">
        <v>120911.25</v>
      </c>
      <c r="K83" s="37">
        <v>120911.25</v>
      </c>
      <c r="L83" s="37">
        <v>120911.25</v>
      </c>
      <c r="M83" s="37">
        <v>120911.25</v>
      </c>
      <c r="N83" s="37">
        <v>120911.25</v>
      </c>
      <c r="O83" s="37">
        <v>120911.25</v>
      </c>
      <c r="P83" s="37">
        <v>120911.25</v>
      </c>
      <c r="Q83" s="37">
        <v>120911.25</v>
      </c>
    </row>
    <row r="84" spans="1:17" ht="21.75" customHeight="1">
      <c r="A84" s="29" t="s">
        <v>141</v>
      </c>
      <c r="B84" s="1" t="s">
        <v>149</v>
      </c>
      <c r="C84" s="42" t="s">
        <v>32</v>
      </c>
      <c r="D84" s="37">
        <v>203027.148</v>
      </c>
      <c r="E84" s="37">
        <v>258967.993</v>
      </c>
      <c r="F84" s="37">
        <v>327928.878</v>
      </c>
      <c r="G84" s="37">
        <v>360951.588</v>
      </c>
      <c r="H84" s="37">
        <v>136930.666</v>
      </c>
      <c r="I84" s="37">
        <v>131750</v>
      </c>
      <c r="J84" s="37">
        <v>128600</v>
      </c>
      <c r="K84" s="37">
        <v>128600</v>
      </c>
      <c r="L84" s="37">
        <v>128600</v>
      </c>
      <c r="M84" s="37">
        <v>128600</v>
      </c>
      <c r="N84" s="37">
        <v>128600</v>
      </c>
      <c r="O84" s="37">
        <v>128600</v>
      </c>
      <c r="P84" s="37">
        <v>128600</v>
      </c>
      <c r="Q84" s="37">
        <v>128600</v>
      </c>
    </row>
    <row r="85" spans="1:17" ht="25.5">
      <c r="A85" s="29" t="s">
        <v>142</v>
      </c>
      <c r="B85" s="1" t="s">
        <v>150</v>
      </c>
      <c r="C85" s="42" t="s">
        <v>153</v>
      </c>
      <c r="D85" s="37">
        <v>1838665</v>
      </c>
      <c r="E85" s="37">
        <v>2319769</v>
      </c>
      <c r="F85" s="37">
        <v>2135478</v>
      </c>
      <c r="G85" s="37">
        <v>2236962</v>
      </c>
      <c r="H85" s="37">
        <v>2643300</v>
      </c>
      <c r="I85" s="37">
        <v>2643300</v>
      </c>
      <c r="J85" s="37">
        <v>2643300</v>
      </c>
      <c r="K85" s="37">
        <v>2643300</v>
      </c>
      <c r="L85" s="37">
        <v>2643300</v>
      </c>
      <c r="M85" s="37">
        <v>2643300</v>
      </c>
      <c r="N85" s="37">
        <v>2643300</v>
      </c>
      <c r="O85" s="37">
        <v>2643300</v>
      </c>
      <c r="P85" s="37">
        <v>2643300</v>
      </c>
      <c r="Q85" s="37">
        <v>2643300</v>
      </c>
    </row>
    <row r="86" spans="1:17" ht="68.25" customHeight="1">
      <c r="A86" s="29" t="s">
        <v>143</v>
      </c>
      <c r="B86" s="1" t="s">
        <v>151</v>
      </c>
      <c r="C86" s="42" t="s">
        <v>133</v>
      </c>
      <c r="D86" s="37" t="s">
        <v>270</v>
      </c>
      <c r="E86" s="37" t="s">
        <v>270</v>
      </c>
      <c r="F86" s="37" t="s">
        <v>270</v>
      </c>
      <c r="G86" s="37" t="s">
        <v>270</v>
      </c>
      <c r="H86" s="37" t="s">
        <v>270</v>
      </c>
      <c r="I86" s="37" t="s">
        <v>270</v>
      </c>
      <c r="J86" s="37" t="s">
        <v>270</v>
      </c>
      <c r="K86" s="37" t="s">
        <v>270</v>
      </c>
      <c r="L86" s="37" t="s">
        <v>270</v>
      </c>
      <c r="M86" s="37" t="s">
        <v>270</v>
      </c>
      <c r="N86" s="37" t="s">
        <v>270</v>
      </c>
      <c r="O86" s="37" t="s">
        <v>270</v>
      </c>
      <c r="P86" s="37" t="s">
        <v>270</v>
      </c>
      <c r="Q86" s="37" t="s">
        <v>270</v>
      </c>
    </row>
    <row r="87" spans="1:17" ht="90" customHeight="1">
      <c r="A87" s="29" t="s">
        <v>144</v>
      </c>
      <c r="B87" s="43" t="s">
        <v>152</v>
      </c>
      <c r="C87" s="42" t="s">
        <v>133</v>
      </c>
      <c r="D87" s="37" t="s">
        <v>270</v>
      </c>
      <c r="E87" s="37" t="s">
        <v>270</v>
      </c>
      <c r="F87" s="37" t="s">
        <v>270</v>
      </c>
      <c r="G87" s="37" t="s">
        <v>270</v>
      </c>
      <c r="H87" s="37" t="s">
        <v>270</v>
      </c>
      <c r="I87" s="37" t="s">
        <v>270</v>
      </c>
      <c r="J87" s="37" t="s">
        <v>270</v>
      </c>
      <c r="K87" s="37" t="s">
        <v>270</v>
      </c>
      <c r="L87" s="37" t="s">
        <v>270</v>
      </c>
      <c r="M87" s="37" t="s">
        <v>270</v>
      </c>
      <c r="N87" s="37" t="s">
        <v>270</v>
      </c>
      <c r="O87" s="37" t="s">
        <v>270</v>
      </c>
      <c r="P87" s="37" t="s">
        <v>270</v>
      </c>
      <c r="Q87" s="37" t="s">
        <v>270</v>
      </c>
    </row>
    <row r="89" ht="12.75">
      <c r="K89" s="44"/>
    </row>
    <row r="90" ht="12.75">
      <c r="K90" s="44"/>
    </row>
    <row r="91" spans="1:17" ht="32.25" customHeight="1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</row>
    <row r="92" spans="2:11" ht="12.75">
      <c r="B92" s="45"/>
      <c r="F92" s="40"/>
      <c r="K92" s="44"/>
    </row>
    <row r="93" spans="2:11" ht="12.75">
      <c r="B93" s="45"/>
      <c r="D93" s="46"/>
      <c r="F93" s="40"/>
      <c r="K93" s="44"/>
    </row>
    <row r="94" spans="4:11" ht="12.75">
      <c r="D94" s="47"/>
      <c r="F94" s="40"/>
      <c r="G94" s="40"/>
      <c r="K94" s="44"/>
    </row>
    <row r="95" spans="6:11" ht="12.75">
      <c r="F95" s="40"/>
      <c r="K95" s="44"/>
    </row>
    <row r="96" spans="6:11" ht="12.75">
      <c r="F96" s="40"/>
      <c r="K96" s="44"/>
    </row>
  </sheetData>
  <sheetProtection/>
  <mergeCells count="7">
    <mergeCell ref="P2:Q2"/>
    <mergeCell ref="P1:Q1"/>
    <mergeCell ref="A5:A6"/>
    <mergeCell ref="C5:C6"/>
    <mergeCell ref="D5:Q5"/>
    <mergeCell ref="B5:B6"/>
    <mergeCell ref="A3:Q3"/>
  </mergeCells>
  <printOptions/>
  <pageMargins left="0" right="0" top="0" bottom="0" header="0.31496062992125984" footer="0.31496062992125984"/>
  <pageSetup horizontalDpi="180" verticalDpi="18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5"/>
  <sheetViews>
    <sheetView tabSelected="1" view="pageBreakPreview" zoomScale="70" zoomScaleNormal="50" zoomScaleSheetLayoutView="70" zoomScalePageLayoutView="0" workbookViewId="0" topLeftCell="A1">
      <pane xSplit="3" ySplit="8" topLeftCell="H9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J102" sqref="J102"/>
    </sheetView>
  </sheetViews>
  <sheetFormatPr defaultColWidth="9.140625" defaultRowHeight="15"/>
  <cols>
    <col min="1" max="1" width="7.7109375" style="23" bestFit="1" customWidth="1"/>
    <col min="2" max="2" width="41.7109375" style="23" customWidth="1"/>
    <col min="3" max="3" width="10.00390625" style="23" customWidth="1"/>
    <col min="4" max="4" width="20.28125" style="23" customWidth="1"/>
    <col min="5" max="18" width="15.00390625" style="23" customWidth="1"/>
    <col min="19" max="16384" width="9.140625" style="23" customWidth="1"/>
  </cols>
  <sheetData>
    <row r="1" spans="17:18" ht="12.75">
      <c r="Q1" s="65" t="s">
        <v>525</v>
      </c>
      <c r="R1" s="65"/>
    </row>
    <row r="2" spans="17:18" ht="72.75" customHeight="1">
      <c r="Q2" s="64" t="s">
        <v>524</v>
      </c>
      <c r="R2" s="64"/>
    </row>
    <row r="3" spans="7:11" ht="15.75">
      <c r="G3" s="24" t="s">
        <v>522</v>
      </c>
      <c r="H3" s="24"/>
      <c r="I3" s="24"/>
      <c r="J3" s="24"/>
      <c r="K3" s="25"/>
    </row>
    <row r="5" spans="1:18" ht="40.5" customHeight="1">
      <c r="A5" s="83" t="s">
        <v>194</v>
      </c>
      <c r="B5" s="83" t="s">
        <v>195</v>
      </c>
      <c r="C5" s="83" t="s">
        <v>196</v>
      </c>
      <c r="D5" s="84" t="s">
        <v>197</v>
      </c>
      <c r="E5" s="80" t="s">
        <v>198</v>
      </c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2"/>
    </row>
    <row r="6" spans="1:18" ht="44.25" customHeight="1">
      <c r="A6" s="83"/>
      <c r="B6" s="83"/>
      <c r="C6" s="83"/>
      <c r="D6" s="85"/>
      <c r="E6" s="26">
        <v>2007</v>
      </c>
      <c r="F6" s="26">
        <v>2008</v>
      </c>
      <c r="G6" s="26">
        <v>2009</v>
      </c>
      <c r="H6" s="26">
        <v>2010</v>
      </c>
      <c r="I6" s="26">
        <v>2011</v>
      </c>
      <c r="J6" s="26">
        <v>2012</v>
      </c>
      <c r="K6" s="26">
        <v>2013</v>
      </c>
      <c r="L6" s="26">
        <v>2014</v>
      </c>
      <c r="M6" s="26">
        <v>2015</v>
      </c>
      <c r="N6" s="26">
        <v>2016</v>
      </c>
      <c r="O6" s="26">
        <v>2017</v>
      </c>
      <c r="P6" s="26">
        <v>2018</v>
      </c>
      <c r="Q6" s="26">
        <v>2019</v>
      </c>
      <c r="R6" s="26">
        <v>2020</v>
      </c>
    </row>
    <row r="7" spans="1:18" ht="12.7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  <c r="O7" s="27">
        <v>15</v>
      </c>
      <c r="P7" s="27">
        <v>16</v>
      </c>
      <c r="Q7" s="27">
        <v>17</v>
      </c>
      <c r="R7" s="27">
        <v>18</v>
      </c>
    </row>
    <row r="8" spans="1:18" ht="31.5" customHeight="1">
      <c r="A8" s="79" t="s">
        <v>199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ht="57.75" customHeight="1">
      <c r="A9" s="28" t="s">
        <v>200</v>
      </c>
      <c r="B9" s="28" t="s">
        <v>201</v>
      </c>
      <c r="C9" s="28" t="s">
        <v>202</v>
      </c>
      <c r="D9" s="28" t="s">
        <v>203</v>
      </c>
      <c r="E9" s="31">
        <f>'приложение №2'!D9/'приложение №2'!D8</f>
        <v>127.46495427427571</v>
      </c>
      <c r="F9" s="31">
        <f>'приложение №2'!E9/'приложение №2'!E8</f>
        <v>106.94879165201509</v>
      </c>
      <c r="G9" s="31">
        <f>'приложение №2'!F9/'приложение №2'!F8</f>
        <v>104.35152343637698</v>
      </c>
      <c r="H9" s="31">
        <f>'приложение №2'!G9/'приложение №2'!G8</f>
        <v>84.98956183917535</v>
      </c>
      <c r="I9" s="31">
        <f>'приложение №2'!H9/'приложение №2'!H8</f>
        <v>63.05079750795364</v>
      </c>
      <c r="J9" s="31">
        <f>'приложение №2'!I9/'приложение №2'!I8</f>
        <v>57.50262001171582</v>
      </c>
      <c r="K9" s="31">
        <f>'приложение №2'!J9/'приложение №2'!J8</f>
        <v>52.19609630454343</v>
      </c>
      <c r="L9" s="31">
        <f>'приложение №2'!K9/'приложение №2'!K8</f>
        <v>47.53886913875256</v>
      </c>
      <c r="M9" s="31">
        <f>'приложение №2'!L9/'приложение №2'!L8</f>
        <v>43.30624130992929</v>
      </c>
      <c r="N9" s="31">
        <f>'приложение №2'!M9/'приложение №2'!M8</f>
        <v>39.38520039851668</v>
      </c>
      <c r="O9" s="31">
        <f>'приложение №2'!N9/'приложение №2'!N8</f>
        <v>35.82044154839785</v>
      </c>
      <c r="P9" s="31">
        <f>'приложение №2'!O9/'приложение №2'!O8</f>
        <v>32.576522892381</v>
      </c>
      <c r="Q9" s="31">
        <f>'приложение №2'!P9/'приложение №2'!P8</f>
        <v>29.627422051775156</v>
      </c>
      <c r="R9" s="31">
        <f>'приложение №2'!Q9/'приложение №2'!Q8</f>
        <v>26.944448219104594</v>
      </c>
    </row>
    <row r="10" spans="1:18" ht="97.5" customHeight="1">
      <c r="A10" s="28" t="s">
        <v>204</v>
      </c>
      <c r="B10" s="28" t="s">
        <v>205</v>
      </c>
      <c r="C10" s="28" t="s">
        <v>206</v>
      </c>
      <c r="D10" s="28" t="s">
        <v>207</v>
      </c>
      <c r="E10" s="32">
        <f>'приложение №2'!D14/'приложение №2'!D10</f>
        <v>0.9200005129816416</v>
      </c>
      <c r="F10" s="32">
        <f>'приложение №2'!E14/'приложение №2'!E10</f>
        <v>0.9532660354419187</v>
      </c>
      <c r="G10" s="32">
        <f>'приложение №2'!F14/'приложение №2'!F10</f>
        <v>0.9964564606905595</v>
      </c>
      <c r="H10" s="32">
        <f>'приложение №2'!G14/'приложение №2'!G10</f>
        <v>0.9051785132703123</v>
      </c>
      <c r="I10" s="32">
        <f>'приложение №2'!H14/'приложение №2'!H10</f>
        <v>0.989297129785452</v>
      </c>
      <c r="J10" s="32">
        <f>'приложение №2'!I14/'приложение №2'!I10</f>
        <v>0.9980762340931233</v>
      </c>
      <c r="K10" s="32">
        <f>'приложение №2'!J14/'приложение №2'!J10</f>
        <v>0.9980762340931233</v>
      </c>
      <c r="L10" s="32">
        <f>'приложение №2'!K14/'приложение №2'!K10</f>
        <v>0.9980762340931233</v>
      </c>
      <c r="M10" s="32">
        <f>'приложение №2'!L14/'приложение №2'!L10</f>
        <v>0.9980762340931233</v>
      </c>
      <c r="N10" s="32">
        <f>'приложение №2'!M14/'приложение №2'!M10</f>
        <v>0.9980762340931233</v>
      </c>
      <c r="O10" s="32">
        <f>'приложение №2'!N14/'приложение №2'!N10</f>
        <v>0.9980762340931233</v>
      </c>
      <c r="P10" s="32">
        <f>'приложение №2'!O14/'приложение №2'!O10</f>
        <v>0.9980762340931233</v>
      </c>
      <c r="Q10" s="32">
        <f>'приложение №2'!P14/'приложение №2'!P10</f>
        <v>0.9980762340931233</v>
      </c>
      <c r="R10" s="32">
        <f>'приложение №2'!Q14/'приложение №2'!Q10</f>
        <v>0.9980762340931233</v>
      </c>
    </row>
    <row r="11" spans="1:18" ht="83.25" customHeight="1">
      <c r="A11" s="28" t="s">
        <v>208</v>
      </c>
      <c r="B11" s="28" t="s">
        <v>209</v>
      </c>
      <c r="C11" s="28" t="s">
        <v>206</v>
      </c>
      <c r="D11" s="28" t="s">
        <v>210</v>
      </c>
      <c r="E11" s="32">
        <f>'приложение №2'!D15/'приложение №2'!D11</f>
        <v>0.05607512103792575</v>
      </c>
      <c r="F11" s="32">
        <f>'приложение №2'!E15/'приложение №2'!E11</f>
        <v>0.045625909280209945</v>
      </c>
      <c r="G11" s="32">
        <f>'приложение №2'!F15/'приложение №2'!F11</f>
        <v>0.06048667127659734</v>
      </c>
      <c r="H11" s="32">
        <f>'приложение №2'!G15/'приложение №2'!G11</f>
        <v>0.0757686896283097</v>
      </c>
      <c r="I11" s="32">
        <f>'приложение №2'!H15/'приложение №2'!H11</f>
        <v>0.07817354264453778</v>
      </c>
      <c r="J11" s="32">
        <f>'приложение №2'!I15/'приложение №2'!I11</f>
        <v>0.09367251771946704</v>
      </c>
      <c r="K11" s="32">
        <f>'приложение №2'!J15/'приложение №2'!J11</f>
        <v>0.09366349587228347</v>
      </c>
      <c r="L11" s="32">
        <f>'приложение №2'!K15/'приложение №2'!K11</f>
        <v>0.09366349587228347</v>
      </c>
      <c r="M11" s="32">
        <f>'приложение №2'!L15/'приложение №2'!L11</f>
        <v>0.09366349587228347</v>
      </c>
      <c r="N11" s="32">
        <f>'приложение №2'!M15/'приложение №2'!M11</f>
        <v>0.09366349587228347</v>
      </c>
      <c r="O11" s="32">
        <f>'приложение №2'!N15/'приложение №2'!N11</f>
        <v>0.09366349587228347</v>
      </c>
      <c r="P11" s="32">
        <f>'приложение №2'!O15/'приложение №2'!O11</f>
        <v>0.09366349587228347</v>
      </c>
      <c r="Q11" s="32">
        <f>'приложение №2'!P15/'приложение №2'!P11</f>
        <v>0.09366349587228347</v>
      </c>
      <c r="R11" s="32">
        <f>'приложение №2'!Q15/'приложение №2'!Q11</f>
        <v>0.09366349587228347</v>
      </c>
    </row>
    <row r="12" spans="1:18" ht="84.75" customHeight="1">
      <c r="A12" s="28" t="s">
        <v>211</v>
      </c>
      <c r="B12" s="28" t="s">
        <v>212</v>
      </c>
      <c r="C12" s="28" t="s">
        <v>206</v>
      </c>
      <c r="D12" s="28" t="s">
        <v>213</v>
      </c>
      <c r="E12" s="32">
        <f>'приложение №2'!D16/'приложение №2'!D12</f>
        <v>0.11331206194152528</v>
      </c>
      <c r="F12" s="32">
        <f>'приложение №2'!E16/'приложение №2'!E12</f>
        <v>0.13275500495648535</v>
      </c>
      <c r="G12" s="32">
        <f>'приложение №2'!F16/'приложение №2'!F12</f>
        <v>0.17221186569337663</v>
      </c>
      <c r="H12" s="32">
        <f>'приложение №2'!G16/'приложение №2'!G12</f>
        <v>0.19549711034053524</v>
      </c>
      <c r="I12" s="32">
        <f>'приложение №2'!H16/'приложение №2'!H12</f>
        <v>0.4162940297339381</v>
      </c>
      <c r="J12" s="32">
        <f>'приложение №2'!I16/'приложение №2'!I12</f>
        <v>1</v>
      </c>
      <c r="K12" s="32">
        <f>'приложение №2'!J16/'приложение №2'!J12</f>
        <v>1</v>
      </c>
      <c r="L12" s="32">
        <f>'приложение №2'!K16/'приложение №2'!K12</f>
        <v>1</v>
      </c>
      <c r="M12" s="32">
        <f>'приложение №2'!L16/'приложение №2'!L12</f>
        <v>1</v>
      </c>
      <c r="N12" s="32">
        <f>'приложение №2'!M16/'приложение №2'!M12</f>
        <v>1</v>
      </c>
      <c r="O12" s="32">
        <f>'приложение №2'!N16/'приложение №2'!N12</f>
        <v>1</v>
      </c>
      <c r="P12" s="32">
        <f>'приложение №2'!O16/'приложение №2'!O12</f>
        <v>1</v>
      </c>
      <c r="Q12" s="32">
        <f>'приложение №2'!P16/'приложение №2'!P12</f>
        <v>1</v>
      </c>
      <c r="R12" s="32">
        <f>'приложение №2'!Q16/'приложение №2'!Q12</f>
        <v>1</v>
      </c>
    </row>
    <row r="13" spans="1:18" ht="95.25" customHeight="1">
      <c r="A13" s="28" t="s">
        <v>214</v>
      </c>
      <c r="B13" s="28" t="s">
        <v>215</v>
      </c>
      <c r="C13" s="28" t="s">
        <v>206</v>
      </c>
      <c r="D13" s="28" t="s">
        <v>216</v>
      </c>
      <c r="E13" s="32">
        <f>'приложение №2'!D17/'приложение №2'!D13</f>
        <v>0.9579386367484427</v>
      </c>
      <c r="F13" s="32">
        <f>'приложение №2'!E17/'приложение №2'!E13</f>
        <v>0.9527070800555298</v>
      </c>
      <c r="G13" s="32">
        <f>'приложение №2'!F17/'приложение №2'!F13</f>
        <v>0.9552561112550747</v>
      </c>
      <c r="H13" s="32">
        <f>'приложение №2'!G17/'приложение №2'!G13</f>
        <v>0.9564832319929147</v>
      </c>
      <c r="I13" s="32">
        <f>'приложение №2'!H17/'приложение №2'!H13</f>
        <v>0.9576271186440678</v>
      </c>
      <c r="J13" s="32">
        <f>'приложение №2'!I17/'приложение №2'!I13</f>
        <v>1</v>
      </c>
      <c r="K13" s="32">
        <f>'приложение №2'!J17/'приложение №2'!J13</f>
        <v>1</v>
      </c>
      <c r="L13" s="33">
        <f>'приложение №2'!K17/'приложение №2'!K13</f>
        <v>1</v>
      </c>
      <c r="M13" s="33">
        <f>'приложение №2'!L17/'приложение №2'!L13</f>
        <v>1</v>
      </c>
      <c r="N13" s="32">
        <f>'приложение №2'!M17/'приложение №2'!M13</f>
        <v>1</v>
      </c>
      <c r="O13" s="32">
        <f>'приложение №2'!N17/'приложение №2'!N13</f>
        <v>1</v>
      </c>
      <c r="P13" s="32">
        <f>'приложение №2'!O17/'приложение №2'!O13</f>
        <v>1</v>
      </c>
      <c r="Q13" s="32">
        <f>'приложение №2'!P17/'приложение №2'!P13</f>
        <v>1</v>
      </c>
      <c r="R13" s="32">
        <f>'приложение №2'!Q17/'приложение №2'!Q13</f>
        <v>1</v>
      </c>
    </row>
    <row r="14" spans="1:18" ht="79.5" customHeight="1">
      <c r="A14" s="28" t="s">
        <v>217</v>
      </c>
      <c r="B14" s="28" t="s">
        <v>218</v>
      </c>
      <c r="C14" s="28" t="s">
        <v>206</v>
      </c>
      <c r="D14" s="28" t="s">
        <v>219</v>
      </c>
      <c r="E14" s="32" t="s">
        <v>270</v>
      </c>
      <c r="F14" s="32" t="s">
        <v>270</v>
      </c>
      <c r="G14" s="32" t="s">
        <v>270</v>
      </c>
      <c r="H14" s="34">
        <f>'приложение №2'!G25/'приложение №2'!G24*100</f>
        <v>100</v>
      </c>
      <c r="I14" s="35">
        <f>'приложение №2'!H25/'приложение №2'!H24*100</f>
        <v>41.134356244937656</v>
      </c>
      <c r="J14" s="35">
        <f>'приложение №2'!I25/'приложение №2'!I24*100</f>
        <v>22.244222078393378</v>
      </c>
      <c r="K14" s="35">
        <f>'приложение №2'!J25/'приложение №2'!J24*100</f>
        <v>43.79006006912984</v>
      </c>
      <c r="L14" s="35">
        <f>'приложение №2'!K25/'приложение №2'!K24*100</f>
        <v>5.4279631666759</v>
      </c>
      <c r="M14" s="35">
        <f>'приложение №2'!L25/'приложение №2'!L24*100</f>
        <v>13.593455040714156</v>
      </c>
      <c r="N14" s="35">
        <f>'приложение №2'!M25/'приложение №2'!M24*100</f>
        <v>25.973283494244654</v>
      </c>
      <c r="O14" s="35">
        <f>'приложение №2'!N25/'приложение №2'!N24*100</f>
        <v>18.820070552245095</v>
      </c>
      <c r="P14" s="35">
        <f>'приложение №2'!O25/'приложение №2'!O24*100</f>
        <v>14.445887978652424</v>
      </c>
      <c r="Q14" s="35">
        <f>'приложение №2'!P25/'приложение №2'!P24*100</f>
        <v>21.4936606368514</v>
      </c>
      <c r="R14" s="35">
        <f>'приложение №2'!Q25/'приложение №2'!Q24*100</f>
        <v>17.158050601075946</v>
      </c>
    </row>
    <row r="15" spans="1:18" ht="69.75" customHeight="1">
      <c r="A15" s="28" t="s">
        <v>220</v>
      </c>
      <c r="B15" s="28" t="s">
        <v>222</v>
      </c>
      <c r="C15" s="28" t="s">
        <v>87</v>
      </c>
      <c r="D15" s="28" t="s">
        <v>223</v>
      </c>
      <c r="E15" s="32" t="s">
        <v>270</v>
      </c>
      <c r="F15" s="32" t="s">
        <v>270</v>
      </c>
      <c r="G15" s="32" t="s">
        <v>270</v>
      </c>
      <c r="H15" s="32" t="s">
        <v>270</v>
      </c>
      <c r="I15" s="32" t="s">
        <v>270</v>
      </c>
      <c r="J15" s="32" t="s">
        <v>270</v>
      </c>
      <c r="K15" s="32" t="s">
        <v>270</v>
      </c>
      <c r="L15" s="32" t="s">
        <v>270</v>
      </c>
      <c r="M15" s="32" t="s">
        <v>270</v>
      </c>
      <c r="N15" s="32" t="s">
        <v>270</v>
      </c>
      <c r="O15" s="32" t="s">
        <v>270</v>
      </c>
      <c r="P15" s="32" t="s">
        <v>270</v>
      </c>
      <c r="Q15" s="32" t="s">
        <v>270</v>
      </c>
      <c r="R15" s="32" t="s">
        <v>270</v>
      </c>
    </row>
    <row r="16" spans="1:18" ht="73.5" customHeight="1">
      <c r="A16" s="28" t="s">
        <v>221</v>
      </c>
      <c r="B16" s="28" t="s">
        <v>224</v>
      </c>
      <c r="C16" s="28" t="s">
        <v>206</v>
      </c>
      <c r="D16" s="28" t="s">
        <v>225</v>
      </c>
      <c r="E16" s="32" t="s">
        <v>270</v>
      </c>
      <c r="F16" s="32" t="s">
        <v>270</v>
      </c>
      <c r="G16" s="32" t="s">
        <v>270</v>
      </c>
      <c r="H16" s="32" t="s">
        <v>270</v>
      </c>
      <c r="I16" s="32" t="s">
        <v>270</v>
      </c>
      <c r="J16" s="32" t="s">
        <v>270</v>
      </c>
      <c r="K16" s="32" t="s">
        <v>270</v>
      </c>
      <c r="L16" s="32" t="s">
        <v>270</v>
      </c>
      <c r="M16" s="32" t="s">
        <v>270</v>
      </c>
      <c r="N16" s="32" t="s">
        <v>270</v>
      </c>
      <c r="O16" s="32" t="s">
        <v>270</v>
      </c>
      <c r="P16" s="32" t="s">
        <v>270</v>
      </c>
      <c r="Q16" s="32" t="s">
        <v>270</v>
      </c>
      <c r="R16" s="32" t="s">
        <v>270</v>
      </c>
    </row>
    <row r="17" spans="1:18" ht="31.5" customHeight="1">
      <c r="A17" s="80" t="s">
        <v>226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2"/>
    </row>
    <row r="18" spans="1:18" ht="48" customHeight="1">
      <c r="A18" s="30" t="s">
        <v>227</v>
      </c>
      <c r="B18" s="28" t="s">
        <v>228</v>
      </c>
      <c r="C18" s="28" t="s">
        <v>229</v>
      </c>
      <c r="D18" s="28" t="s">
        <v>230</v>
      </c>
      <c r="E18" s="36" t="s">
        <v>270</v>
      </c>
      <c r="F18" s="37">
        <f>(($E$9-F9)/$E$9)*'приложение №2'!$D$10</f>
        <v>25101.143254007944</v>
      </c>
      <c r="G18" s="37">
        <f>(($E$9-G9)/$E$9)*'приложение №2'!$D$10</f>
        <v>28278.852592257972</v>
      </c>
      <c r="H18" s="37">
        <f>(($E$9-H9)/$E$9)*'приложение №2'!$D$10</f>
        <v>51967.85236664202</v>
      </c>
      <c r="I18" s="37">
        <f>(($E$9-I9)/$E$9)*'приложение №2'!$D$10</f>
        <v>78809.52234328783</v>
      </c>
      <c r="J18" s="37">
        <f>(($E$9-J9)/$E$9)*'приложение №2'!$D$10</f>
        <v>85597.61428308467</v>
      </c>
      <c r="K18" s="37">
        <f>(($E$9-K9)/$E$9)*'приложение №2'!$D$10</f>
        <v>92090.04730805971</v>
      </c>
      <c r="L18" s="37">
        <f>(($E$9-L9)/$E$9)*'приложение №2'!$D$10</f>
        <v>97788.07809516862</v>
      </c>
      <c r="M18" s="37">
        <f>(($E$9-M9)/$E$9)*'приложение №2'!$D$10</f>
        <v>102966.61949339851</v>
      </c>
      <c r="N18" s="37">
        <f>(($E$9-N9)/$E$9)*'приложение №2'!$D$10</f>
        <v>107763.94009541998</v>
      </c>
      <c r="O18" s="37">
        <f>(($E$9-O9)/$E$9)*'приложение №2'!$D$10</f>
        <v>112125.35622426943</v>
      </c>
      <c r="P18" s="37">
        <f>(($E$9-P9)/$E$9)*'приложение №2'!$D$10</f>
        <v>116094.23034504084</v>
      </c>
      <c r="Q18" s="37">
        <f>(($E$9-Q9)/$E$9)*'приложение №2'!$D$10</f>
        <v>119702.40035390217</v>
      </c>
      <c r="R18" s="37">
        <f>(($E$9-R9)/$E$9)*'приложение №2'!$D$10</f>
        <v>122984.96891999194</v>
      </c>
    </row>
    <row r="19" spans="1:18" ht="30.75" customHeight="1">
      <c r="A19" s="30" t="s">
        <v>231</v>
      </c>
      <c r="B19" s="28" t="s">
        <v>232</v>
      </c>
      <c r="C19" s="28" t="s">
        <v>66</v>
      </c>
      <c r="D19" s="28" t="s">
        <v>233</v>
      </c>
      <c r="E19" s="36" t="s">
        <v>270</v>
      </c>
      <c r="F19" s="37">
        <f>F18*'приложение №2'!$D$18</f>
        <v>25276.851256785998</v>
      </c>
      <c r="G19" s="37">
        <f>G18*'приложение №2'!$D$18</f>
        <v>28476.804560403776</v>
      </c>
      <c r="H19" s="37">
        <f>H18*'приложение №2'!$D$18</f>
        <v>52331.62733320851</v>
      </c>
      <c r="I19" s="37">
        <f>I18*'приложение №2'!$D$18</f>
        <v>79361.18899969083</v>
      </c>
      <c r="J19" s="37">
        <f>J18*'приложение №2'!$D$18</f>
        <v>86196.79758306625</v>
      </c>
      <c r="K19" s="37">
        <f>K18*'приложение №2'!$D$18</f>
        <v>92734.67763921613</v>
      </c>
      <c r="L19" s="37">
        <f>L18*'приложение №2'!$D$18</f>
        <v>98472.59464183479</v>
      </c>
      <c r="M19" s="37">
        <f>M18*'приложение №2'!$D$18</f>
        <v>103687.38582985228</v>
      </c>
      <c r="N19" s="37">
        <f>N18*'приложение №2'!$D$18</f>
        <v>108518.28767608792</v>
      </c>
      <c r="O19" s="37">
        <f>O18*'приложение №2'!$D$18</f>
        <v>112910.2337178393</v>
      </c>
      <c r="P19" s="37">
        <f>P18*'приложение №2'!$D$18</f>
        <v>116906.88995745611</v>
      </c>
      <c r="Q19" s="37">
        <f>Q18*'приложение №2'!$D$18</f>
        <v>120540.31715637947</v>
      </c>
      <c r="R19" s="37">
        <f>R18*'приложение №2'!$D$18</f>
        <v>123845.86370243187</v>
      </c>
    </row>
    <row r="20" spans="1:18" ht="39.75" customHeight="1">
      <c r="A20" s="30" t="s">
        <v>234</v>
      </c>
      <c r="B20" s="28" t="s">
        <v>235</v>
      </c>
      <c r="C20" s="28" t="s">
        <v>78</v>
      </c>
      <c r="D20" s="28" t="s">
        <v>236</v>
      </c>
      <c r="E20" s="36" t="s">
        <v>270</v>
      </c>
      <c r="F20" s="37">
        <f>(($E$9-F9)/$E$9)*'приложение №2'!$D$11</f>
        <v>87.33332187078825</v>
      </c>
      <c r="G20" s="37">
        <f>(($E$9-G9)/$E$9)*'приложение №2'!$D$11</f>
        <v>98.3893885065136</v>
      </c>
      <c r="H20" s="37">
        <f>(($E$9-H9)/$E$9)*'приложение №2'!$D$11</f>
        <v>180.80950065670334</v>
      </c>
      <c r="I20" s="37">
        <f>(($E$9-I9)/$E$9)*'приложение №2'!$D$11</f>
        <v>274.1985618599449</v>
      </c>
      <c r="J20" s="37">
        <f>(($E$9-J9)/$E$9)*'приложение №2'!$D$11</f>
        <v>297.81607649932783</v>
      </c>
      <c r="K20" s="37">
        <f>(($E$9-K9)/$E$9)*'приложение №2'!$D$11</f>
        <v>320.40491786631003</v>
      </c>
      <c r="L20" s="37">
        <f>(($E$9-L9)/$E$9)*'приложение №2'!$D$11</f>
        <v>340.22982989221094</v>
      </c>
      <c r="M20" s="37">
        <f>(($E$9-M9)/$E$9)*'приложение №2'!$D$11</f>
        <v>358.2473049600288</v>
      </c>
      <c r="N20" s="37">
        <f>(($E$9-N9)/$E$9)*'приложение №2'!$D$11</f>
        <v>374.9384150028675</v>
      </c>
      <c r="O20" s="37">
        <f>(($E$9-O9)/$E$9)*'приложение №2'!$D$11</f>
        <v>390.1129014690342</v>
      </c>
      <c r="P20" s="37">
        <f>(($E$9-P9)/$E$9)*'приложение №2'!$D$11</f>
        <v>403.9216335075093</v>
      </c>
      <c r="Q20" s="37">
        <f>(($E$9-Q9)/$E$9)*'приложение №2'!$D$11</f>
        <v>416.47538333315106</v>
      </c>
      <c r="R20" s="37">
        <f>(($E$9-R9)/$E$9)*'приложение №2'!$D$11</f>
        <v>427.8962821441833</v>
      </c>
    </row>
    <row r="21" spans="1:18" ht="18.75" customHeight="1">
      <c r="A21" s="30" t="s">
        <v>237</v>
      </c>
      <c r="B21" s="28" t="s">
        <v>238</v>
      </c>
      <c r="C21" s="28" t="s">
        <v>239</v>
      </c>
      <c r="D21" s="28" t="s">
        <v>240</v>
      </c>
      <c r="E21" s="36" t="s">
        <v>270</v>
      </c>
      <c r="F21" s="37">
        <f>F20*'приложение №2'!$D$19</f>
        <v>81114.31602036941</v>
      </c>
      <c r="G21" s="37">
        <f>G20*'приложение №2'!$D$19</f>
        <v>91383.08015096476</v>
      </c>
      <c r="H21" s="37">
        <f>H20*'приложение №2'!$D$19</f>
        <v>167934.05611493948</v>
      </c>
      <c r="I21" s="37">
        <f>I20*'приложение №2'!$D$19</f>
        <v>254672.88226989823</v>
      </c>
      <c r="J21" s="37">
        <f>J20*'приложение №2'!$D$19</f>
        <v>276608.5936918107</v>
      </c>
      <c r="K21" s="37">
        <f>K20*'приложение №2'!$D$19</f>
        <v>297588.8836650501</v>
      </c>
      <c r="L21" s="37">
        <f>L20*'приложение №2'!$D$19</f>
        <v>316002.0637055866</v>
      </c>
      <c r="M21" s="37">
        <f>M20*'приложение №2'!$D$19</f>
        <v>332736.51437382516</v>
      </c>
      <c r="N21" s="37">
        <f>N20*'приложение №2'!$D$19</f>
        <v>348239.0504705133</v>
      </c>
      <c r="O21" s="37">
        <f>O20*'приложение №2'!$D$19</f>
        <v>362332.9617554243</v>
      </c>
      <c r="P21" s="37">
        <f>P20*'приложение №2'!$D$19</f>
        <v>375158.37398543954</v>
      </c>
      <c r="Q21" s="37">
        <f>Q20*'приложение №2'!$D$19</f>
        <v>386818.1712859974</v>
      </c>
      <c r="R21" s="37">
        <f>R20*'приложение №2'!$D$19</f>
        <v>397425.787892696</v>
      </c>
    </row>
    <row r="22" spans="1:18" ht="42" customHeight="1">
      <c r="A22" s="30" t="s">
        <v>241</v>
      </c>
      <c r="B22" s="28" t="s">
        <v>242</v>
      </c>
      <c r="C22" s="28" t="s">
        <v>243</v>
      </c>
      <c r="D22" s="28" t="s">
        <v>244</v>
      </c>
      <c r="E22" s="36" t="s">
        <v>270</v>
      </c>
      <c r="F22" s="37">
        <f>(($E$9-F9)/$E$9)*'приложение №2'!$D$12</f>
        <v>465.6866481772749</v>
      </c>
      <c r="G22" s="37">
        <f>(($E$9-G9)/$E$9)*'приложение №2'!$D$12</f>
        <v>524.6408079793388</v>
      </c>
      <c r="H22" s="37">
        <f>(($E$9-H9)/$E$9)*'приложение №2'!$D$12</f>
        <v>964.1287943220999</v>
      </c>
      <c r="I22" s="37">
        <f>(($E$9-I9)/$E$9)*'приложение №2'!$D$12</f>
        <v>1462.1064042028336</v>
      </c>
      <c r="J22" s="37">
        <f>(($E$9-J9)/$E$9)*'приложение №2'!$D$12</f>
        <v>1588.0418546711473</v>
      </c>
      <c r="K22" s="37">
        <f>(($E$9-K9)/$E$9)*'приложение №2'!$D$12</f>
        <v>1708.4921203550946</v>
      </c>
      <c r="L22" s="37">
        <f>(($E$9-L9)/$E$9)*'приложение №2'!$D$12</f>
        <v>1814.2043116926734</v>
      </c>
      <c r="M22" s="37">
        <f>(($E$9-M9)/$E$9)*'приложение №2'!$D$12</f>
        <v>1910.2787239927538</v>
      </c>
      <c r="N22" s="37">
        <f>(($E$9-N9)/$E$9)*'приложение №2'!$D$12</f>
        <v>1999.2805725850662</v>
      </c>
      <c r="O22" s="37">
        <f>(($E$9-O9)/$E$9)*'приложение №2'!$D$12</f>
        <v>2080.195343589606</v>
      </c>
      <c r="P22" s="37">
        <f>(($E$9-P9)/$E$9)*'приложение №2'!$D$12</f>
        <v>2153.827515145954</v>
      </c>
      <c r="Q22" s="37">
        <f>(($E$9-Q9)/$E$9)*'приложение №2'!$D$12</f>
        <v>2220.767756890206</v>
      </c>
      <c r="R22" s="37">
        <f>(($E$9-R9)/$E$9)*'приложение №2'!$D$12</f>
        <v>2281.6673078582817</v>
      </c>
    </row>
    <row r="23" spans="1:18" ht="19.5" customHeight="1">
      <c r="A23" s="30" t="s">
        <v>245</v>
      </c>
      <c r="B23" s="28" t="s">
        <v>246</v>
      </c>
      <c r="C23" s="28" t="s">
        <v>66</v>
      </c>
      <c r="D23" s="28" t="s">
        <v>247</v>
      </c>
      <c r="E23" s="36" t="s">
        <v>270</v>
      </c>
      <c r="F23" s="37">
        <f>F22*'приложение №2'!$D$20</f>
        <v>17635.5533664734</v>
      </c>
      <c r="G23" s="37">
        <f>G22*'приложение №2'!$D$20</f>
        <v>19868.14739817756</v>
      </c>
      <c r="H23" s="37">
        <f>H22*'приложение №2'!$D$20</f>
        <v>36511.55744097792</v>
      </c>
      <c r="I23" s="37">
        <f>I22*'приложение №2'!$D$20</f>
        <v>55369.9695271613</v>
      </c>
      <c r="J23" s="37">
        <f>J22*'приложение №2'!$D$20</f>
        <v>60139.145036396345</v>
      </c>
      <c r="K23" s="37">
        <f>K22*'приложение №2'!$D$20</f>
        <v>64700.59659784743</v>
      </c>
      <c r="L23" s="37">
        <f>L22*'приложение №2'!$D$20</f>
        <v>68703.91728380154</v>
      </c>
      <c r="M23" s="37">
        <f>M22*'приложение №2'!$D$20</f>
        <v>72342.25527760558</v>
      </c>
      <c r="N23" s="37">
        <f>N22*'приложение №2'!$D$20</f>
        <v>75712.75528379645</v>
      </c>
      <c r="O23" s="37">
        <f>O22*'приложение №2'!$D$20</f>
        <v>78776.99766173838</v>
      </c>
      <c r="P23" s="37">
        <f>P22*'приложение №2'!$D$20</f>
        <v>81565.44799857726</v>
      </c>
      <c r="Q23" s="37">
        <f>Q22*'приложение №2'!$D$20</f>
        <v>84100.47495343209</v>
      </c>
      <c r="R23" s="37">
        <f>R22*'приложение №2'!$D$20</f>
        <v>86406.74094859313</v>
      </c>
    </row>
    <row r="24" spans="1:18" ht="39" customHeight="1">
      <c r="A24" s="30" t="s">
        <v>248</v>
      </c>
      <c r="B24" s="28" t="s">
        <v>249</v>
      </c>
      <c r="C24" s="28" t="s">
        <v>33</v>
      </c>
      <c r="D24" s="28" t="s">
        <v>250</v>
      </c>
      <c r="E24" s="36" t="s">
        <v>270</v>
      </c>
      <c r="F24" s="37">
        <f>(($E$9-F9)/$E$9)*'приложение №2'!$D$13</f>
        <v>18061.923248552488</v>
      </c>
      <c r="G24" s="37">
        <f>(($E$9-G9)/$E$9)*'приложение №2'!$D$13</f>
        <v>20348.494086895324</v>
      </c>
      <c r="H24" s="37">
        <f>(($E$9-H9)/$E$9)*'приложение №2'!$D$13</f>
        <v>37394.28723783411</v>
      </c>
      <c r="I24" s="37">
        <f>(($E$9-I9)/$E$9)*'приложение №2'!$D$13</f>
        <v>56708.63392217254</v>
      </c>
      <c r="J24" s="37">
        <f>(($E$9-J9)/$E$9)*'приложение №2'!$D$13</f>
        <v>61593.11246484416</v>
      </c>
      <c r="K24" s="37">
        <f>(($E$9-K9)/$E$9)*'приложение №2'!$D$13</f>
        <v>66264.84497546368</v>
      </c>
      <c r="L24" s="37">
        <f>(($E$9-L9)/$E$9)*'приложение №2'!$D$13</f>
        <v>70364.95283522092</v>
      </c>
      <c r="M24" s="37">
        <f>(($E$9-M9)/$E$9)*'приложение №2'!$D$13</f>
        <v>74091.25391751705</v>
      </c>
      <c r="N24" s="37">
        <f>(($E$9-N9)/$E$9)*'приложение №2'!$D$13</f>
        <v>77543.24156746507</v>
      </c>
      <c r="O24" s="37">
        <f>(($E$9-O9)/$E$9)*'приложение №2'!$D$13</f>
        <v>80681.56728343417</v>
      </c>
      <c r="P24" s="37">
        <f>(($E$9-P9)/$E$9)*'приложение №2'!$D$13</f>
        <v>83537.43321062031</v>
      </c>
      <c r="Q24" s="37">
        <f>(($E$9-Q9)/$E$9)*'приложение №2'!$D$13</f>
        <v>86133.74880900948</v>
      </c>
      <c r="R24" s="37">
        <f>(($E$9-R9)/$E$9)*'приложение №2'!$D$13</f>
        <v>88495.77275743493</v>
      </c>
    </row>
    <row r="25" spans="1:18" ht="25.5">
      <c r="A25" s="30" t="s">
        <v>251</v>
      </c>
      <c r="B25" s="28" t="s">
        <v>252</v>
      </c>
      <c r="C25" s="28" t="s">
        <v>253</v>
      </c>
      <c r="D25" s="28" t="s">
        <v>254</v>
      </c>
      <c r="E25" s="36" t="s">
        <v>270</v>
      </c>
      <c r="F25" s="37">
        <f>F24*'приложение №2'!$D$21</f>
        <v>4316799.6564040445</v>
      </c>
      <c r="G25" s="37">
        <f>G24*'приложение №2'!$D$21</f>
        <v>4863290.086767983</v>
      </c>
      <c r="H25" s="37">
        <f>H24*'приложение №2'!$D$21</f>
        <v>8937234.649842354</v>
      </c>
      <c r="I25" s="37">
        <f>I24*'приложение №2'!$D$21</f>
        <v>13553363.507399239</v>
      </c>
      <c r="J25" s="37">
        <f>J24*'приложение №2'!$D$21</f>
        <v>14720753.879097754</v>
      </c>
      <c r="K25" s="37">
        <f>K24*'приложение №2'!$D$21</f>
        <v>15837297.94913582</v>
      </c>
      <c r="L25" s="37">
        <f>L24*'приложение №2'!$D$21</f>
        <v>16817223.7276178</v>
      </c>
      <c r="M25" s="37">
        <f>M24*'приложение №2'!$D$21</f>
        <v>17707809.686286576</v>
      </c>
      <c r="N25" s="37">
        <f>N24*'приложение №2'!$D$21</f>
        <v>18532834.73462415</v>
      </c>
      <c r="O25" s="37">
        <f>O24*'приложение №2'!$D$21</f>
        <v>19282894.580740765</v>
      </c>
      <c r="P25" s="37">
        <f>P24*'приложение №2'!$D$21</f>
        <v>19965446.537338253</v>
      </c>
      <c r="Q25" s="37">
        <f>Q24*'приложение №2'!$D$21</f>
        <v>20585965.965353265</v>
      </c>
      <c r="R25" s="37">
        <f>R24*'приложение №2'!$D$21</f>
        <v>21150489.689026948</v>
      </c>
    </row>
    <row r="26" spans="1:18" ht="25.5" customHeight="1">
      <c r="A26" s="86" t="s">
        <v>255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8"/>
      <c r="N26" s="28"/>
      <c r="O26" s="28"/>
      <c r="P26" s="28"/>
      <c r="Q26" s="28"/>
      <c r="R26" s="28"/>
    </row>
    <row r="27" spans="1:18" ht="41.25" customHeight="1">
      <c r="A27" s="28" t="s">
        <v>256</v>
      </c>
      <c r="B27" s="28" t="s">
        <v>257</v>
      </c>
      <c r="C27" s="28" t="s">
        <v>258</v>
      </c>
      <c r="D27" s="28" t="s">
        <v>259</v>
      </c>
      <c r="E27" s="31">
        <f>'приложение №2'!D26/'приложение №2'!D27</f>
        <v>0.21931093629792933</v>
      </c>
      <c r="F27" s="31">
        <f>'приложение №2'!E26/'приложение №2'!E27</f>
        <v>0.19078825275702768</v>
      </c>
      <c r="G27" s="31">
        <f>'приложение №2'!F26/'приложение №2'!F27</f>
        <v>0.20496575511434847</v>
      </c>
      <c r="H27" s="31">
        <f>'приложение №2'!G26/'приложение №2'!G27</f>
        <v>0.16203573293866919</v>
      </c>
      <c r="I27" s="31">
        <f>'приложение №2'!H26/'приложение №2'!H27</f>
        <v>0.15717466095050914</v>
      </c>
      <c r="J27" s="31">
        <f>'приложение №2'!I26/'приложение №2'!I27</f>
        <v>0.15245942112199387</v>
      </c>
      <c r="K27" s="31">
        <f>'приложение №2'!J26/'приложение №2'!J27</f>
        <v>0.14788563848833405</v>
      </c>
      <c r="L27" s="31">
        <f>'приложение №2'!K26/'приложение №2'!K27</f>
        <v>0.14344906933368404</v>
      </c>
      <c r="M27" s="31">
        <f>'приложение №2'!L26/'приложение №2'!L27</f>
        <v>0.14344906933368404</v>
      </c>
      <c r="N27" s="31">
        <f>'приложение №2'!M26/'приложение №2'!M27</f>
        <v>0.14344906933368404</v>
      </c>
      <c r="O27" s="31">
        <f>'приложение №2'!N26/'приложение №2'!N27</f>
        <v>0.14344906933368404</v>
      </c>
      <c r="P27" s="31">
        <f>'приложение №2'!O26/'приложение №2'!O27</f>
        <v>0.14344906933368404</v>
      </c>
      <c r="Q27" s="31">
        <f>'приложение №2'!P26/'приложение №2'!P27</f>
        <v>0.14344906933368404</v>
      </c>
      <c r="R27" s="31">
        <f>'приложение №2'!Q26/'приложение №2'!Q27</f>
        <v>0.14344906933368404</v>
      </c>
    </row>
    <row r="28" spans="1:18" ht="48.75" customHeight="1">
      <c r="A28" s="28" t="s">
        <v>260</v>
      </c>
      <c r="B28" s="28" t="s">
        <v>261</v>
      </c>
      <c r="C28" s="28" t="s">
        <v>258</v>
      </c>
      <c r="D28" s="28" t="s">
        <v>262</v>
      </c>
      <c r="E28" s="31">
        <f>'приложение №2'!D28/'приложение №2'!D29</f>
        <v>0.18071588787385015</v>
      </c>
      <c r="F28" s="31">
        <f>'приложение №2'!E28/'приложение №2'!E29</f>
        <v>0.1936752412011628</v>
      </c>
      <c r="G28" s="31">
        <f>'приложение №2'!F28/'приложение №2'!F29</f>
        <v>0.19053569203045884</v>
      </c>
      <c r="H28" s="31">
        <f>'приложение №2'!G28/'приложение №2'!G29</f>
        <v>0.18936211721868274</v>
      </c>
      <c r="I28" s="31">
        <f>'приложение №2'!H28/'приложение №2'!H29</f>
        <v>0.19377541315840932</v>
      </c>
      <c r="J28" s="31">
        <f>'приложение №2'!I28/'приложение №2'!I29</f>
        <v>0.19377541315840932</v>
      </c>
      <c r="K28" s="31">
        <f>'приложение №2'!J28/'приложение №2'!J29</f>
        <v>0.19377541315840932</v>
      </c>
      <c r="L28" s="31">
        <f>'приложение №2'!K28/'приложение №2'!K29</f>
        <v>0.19377541315840932</v>
      </c>
      <c r="M28" s="31">
        <f>'приложение №2'!L28/'приложение №2'!L29</f>
        <v>0.19377541315840932</v>
      </c>
      <c r="N28" s="31">
        <f>'приложение №2'!M28/'приложение №2'!M29</f>
        <v>0.19377541315840932</v>
      </c>
      <c r="O28" s="31">
        <f>'приложение №2'!N28/'приложение №2'!N29</f>
        <v>0.19377541315840932</v>
      </c>
      <c r="P28" s="31">
        <f>'приложение №2'!O28/'приложение №2'!O29</f>
        <v>0.19377541315840932</v>
      </c>
      <c r="Q28" s="31">
        <f>'приложение №2'!P28/'приложение №2'!P29</f>
        <v>0.19377541315840932</v>
      </c>
      <c r="R28" s="31">
        <f>'приложение №2'!Q28/'приложение №2'!Q29</f>
        <v>0.19377541315840932</v>
      </c>
    </row>
    <row r="29" spans="1:18" ht="67.5" customHeight="1">
      <c r="A29" s="28" t="s">
        <v>263</v>
      </c>
      <c r="B29" s="28" t="s">
        <v>264</v>
      </c>
      <c r="C29" s="28" t="s">
        <v>258</v>
      </c>
      <c r="D29" s="28" t="s">
        <v>265</v>
      </c>
      <c r="E29" s="32" t="s">
        <v>270</v>
      </c>
      <c r="F29" s="31">
        <f>F27-E27</f>
        <v>-0.02852268354090165</v>
      </c>
      <c r="G29" s="31">
        <f aca="true" t="shared" si="0" ref="G29:L29">G27-F27</f>
        <v>0.014177502357320793</v>
      </c>
      <c r="H29" s="31">
        <f t="shared" si="0"/>
        <v>-0.04293002217567929</v>
      </c>
      <c r="I29" s="31">
        <f t="shared" si="0"/>
        <v>-0.004861071988160048</v>
      </c>
      <c r="J29" s="31">
        <f t="shared" si="0"/>
        <v>-0.004715239828515266</v>
      </c>
      <c r="K29" s="31">
        <f t="shared" si="0"/>
        <v>-0.0045737826336598175</v>
      </c>
      <c r="L29" s="31">
        <f t="shared" si="0"/>
        <v>-0.004436569154650016</v>
      </c>
      <c r="M29" s="53" t="s">
        <v>270</v>
      </c>
      <c r="N29" s="53" t="s">
        <v>270</v>
      </c>
      <c r="O29" s="53" t="s">
        <v>270</v>
      </c>
      <c r="P29" s="53" t="s">
        <v>270</v>
      </c>
      <c r="Q29" s="53" t="s">
        <v>270</v>
      </c>
      <c r="R29" s="53" t="s">
        <v>270</v>
      </c>
    </row>
    <row r="30" spans="1:18" ht="54.75" customHeight="1">
      <c r="A30" s="28" t="s">
        <v>266</v>
      </c>
      <c r="B30" s="28" t="s">
        <v>267</v>
      </c>
      <c r="C30" s="28" t="s">
        <v>258</v>
      </c>
      <c r="D30" s="28" t="s">
        <v>279</v>
      </c>
      <c r="E30" s="32" t="s">
        <v>270</v>
      </c>
      <c r="F30" s="31">
        <f>F28-E28</f>
        <v>0.012959353327312656</v>
      </c>
      <c r="G30" s="31">
        <f>G28-F28</f>
        <v>-0.00313954917070397</v>
      </c>
      <c r="H30" s="31">
        <f>H28-G28</f>
        <v>-0.0011735748117761013</v>
      </c>
      <c r="I30" s="38" t="s">
        <v>270</v>
      </c>
      <c r="J30" s="38" t="s">
        <v>270</v>
      </c>
      <c r="K30" s="38" t="s">
        <v>270</v>
      </c>
      <c r="L30" s="38" t="s">
        <v>270</v>
      </c>
      <c r="M30" s="38" t="s">
        <v>270</v>
      </c>
      <c r="N30" s="38" t="s">
        <v>270</v>
      </c>
      <c r="O30" s="38" t="s">
        <v>270</v>
      </c>
      <c r="P30" s="38" t="s">
        <v>270</v>
      </c>
      <c r="Q30" s="38" t="s">
        <v>270</v>
      </c>
      <c r="R30" s="38" t="s">
        <v>270</v>
      </c>
    </row>
    <row r="31" spans="1:18" ht="87.75" customHeight="1">
      <c r="A31" s="28" t="s">
        <v>268</v>
      </c>
      <c r="B31" s="28" t="s">
        <v>269</v>
      </c>
      <c r="C31" s="28" t="s">
        <v>270</v>
      </c>
      <c r="D31" s="28" t="s">
        <v>271</v>
      </c>
      <c r="E31" s="31">
        <f>E28/E27</f>
        <v>0.8240167632513838</v>
      </c>
      <c r="F31" s="31">
        <f aca="true" t="shared" si="1" ref="F31:R31">F28/F27</f>
        <v>1.0151318983344941</v>
      </c>
      <c r="G31" s="31">
        <f t="shared" si="1"/>
        <v>0.9295976877901421</v>
      </c>
      <c r="H31" s="31">
        <f t="shared" si="1"/>
        <v>1.1686441859732053</v>
      </c>
      <c r="I31" s="31">
        <f t="shared" si="1"/>
        <v>1.2328667482821862</v>
      </c>
      <c r="J31" s="31">
        <f t="shared" si="1"/>
        <v>1.270996647713594</v>
      </c>
      <c r="K31" s="31">
        <f t="shared" si="1"/>
        <v>1.3103058223851485</v>
      </c>
      <c r="L31" s="31">
        <f t="shared" si="1"/>
        <v>1.3508307447269572</v>
      </c>
      <c r="M31" s="31">
        <f t="shared" si="1"/>
        <v>1.3508307447269572</v>
      </c>
      <c r="N31" s="31">
        <f t="shared" si="1"/>
        <v>1.3508307447269572</v>
      </c>
      <c r="O31" s="31">
        <f t="shared" si="1"/>
        <v>1.3508307447269572</v>
      </c>
      <c r="P31" s="31">
        <f t="shared" si="1"/>
        <v>1.3508307447269572</v>
      </c>
      <c r="Q31" s="31">
        <f t="shared" si="1"/>
        <v>1.3508307447269572</v>
      </c>
      <c r="R31" s="31">
        <f t="shared" si="1"/>
        <v>1.3508307447269572</v>
      </c>
    </row>
    <row r="32" spans="1:18" ht="45" customHeight="1">
      <c r="A32" s="28" t="s">
        <v>272</v>
      </c>
      <c r="B32" s="28" t="s">
        <v>273</v>
      </c>
      <c r="C32" s="28" t="s">
        <v>274</v>
      </c>
      <c r="D32" s="28" t="s">
        <v>275</v>
      </c>
      <c r="E32" s="31">
        <f>'приложение №2'!D30/'приложение №2'!D31</f>
        <v>29.365676710328326</v>
      </c>
      <c r="F32" s="31">
        <f>'приложение №2'!E30/'приложение №2'!E31</f>
        <v>18.93076596908831</v>
      </c>
      <c r="G32" s="31">
        <f>'приложение №2'!F30/'приложение №2'!F31</f>
        <v>16.965542399189772</v>
      </c>
      <c r="H32" s="31">
        <f>'приложение №2'!G30/'приложение №2'!G31</f>
        <v>17.528731988905328</v>
      </c>
      <c r="I32" s="31">
        <f>'приложение №2'!H30/'приложение №2'!H31</f>
        <v>19.20848558253561</v>
      </c>
      <c r="J32" s="31">
        <f>'приложение №2'!I30/'приложение №2'!I31</f>
        <v>18.63223101505954</v>
      </c>
      <c r="K32" s="31">
        <f>'приложение №2'!J30/'приложение №2'!J31</f>
        <v>18.073264084607754</v>
      </c>
      <c r="L32" s="31">
        <f>'приложение №2'!K30/'приложение №2'!K31</f>
        <v>17.531066162069518</v>
      </c>
      <c r="M32" s="31">
        <f>'приложение №2'!L30/'приложение №2'!L31</f>
        <v>17.53106616206958</v>
      </c>
      <c r="N32" s="31">
        <f>'приложение №2'!M30/'приложение №2'!M31</f>
        <v>17.53106616206958</v>
      </c>
      <c r="O32" s="31">
        <f>'приложение №2'!N30/'приложение №2'!N31</f>
        <v>17.53106616206958</v>
      </c>
      <c r="P32" s="31">
        <f>'приложение №2'!O30/'приложение №2'!O31</f>
        <v>17.53106616206958</v>
      </c>
      <c r="Q32" s="31">
        <f>'приложение №2'!P30/'приложение №2'!P31</f>
        <v>17.53106616206958</v>
      </c>
      <c r="R32" s="31">
        <f>'приложение №2'!Q30/'приложение №2'!Q31</f>
        <v>17.53106616206958</v>
      </c>
    </row>
    <row r="33" spans="1:18" ht="51" customHeight="1">
      <c r="A33" s="28" t="s">
        <v>276</v>
      </c>
      <c r="B33" s="28" t="s">
        <v>277</v>
      </c>
      <c r="C33" s="28" t="s">
        <v>274</v>
      </c>
      <c r="D33" s="28" t="s">
        <v>278</v>
      </c>
      <c r="E33" s="31">
        <f>'приложение №2'!D32/'приложение №2'!D33</f>
        <v>20.0468192522407</v>
      </c>
      <c r="F33" s="31">
        <f>'приложение №2'!E32/'приложение №2'!E33</f>
        <v>21.034293686733673</v>
      </c>
      <c r="G33" s="31">
        <f>'приложение №2'!F32/'приложение №2'!F33</f>
        <v>21.442616247742063</v>
      </c>
      <c r="H33" s="31">
        <f>'приложение №2'!G32/'приложение №2'!G33</f>
        <v>21.253346384391815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</row>
    <row r="34" spans="1:18" ht="54" customHeight="1">
      <c r="A34" s="28" t="s">
        <v>280</v>
      </c>
      <c r="B34" s="28" t="s">
        <v>281</v>
      </c>
      <c r="C34" s="28" t="s">
        <v>274</v>
      </c>
      <c r="D34" s="28" t="s">
        <v>293</v>
      </c>
      <c r="E34" s="32" t="s">
        <v>270</v>
      </c>
      <c r="F34" s="31">
        <f>F32-E32</f>
        <v>-10.434910741240017</v>
      </c>
      <c r="G34" s="31">
        <f aca="true" t="shared" si="2" ref="G34:L34">G32-F32</f>
        <v>-1.9652235698985372</v>
      </c>
      <c r="H34" s="31">
        <f t="shared" si="2"/>
        <v>0.5631895897155559</v>
      </c>
      <c r="I34" s="31">
        <f t="shared" si="2"/>
        <v>1.6797535936302808</v>
      </c>
      <c r="J34" s="31">
        <f t="shared" si="2"/>
        <v>-0.5762545674760702</v>
      </c>
      <c r="K34" s="31">
        <f t="shared" si="2"/>
        <v>-0.5589669304517848</v>
      </c>
      <c r="L34" s="31">
        <f t="shared" si="2"/>
        <v>-0.5421979225382358</v>
      </c>
      <c r="M34" s="31" t="s">
        <v>270</v>
      </c>
      <c r="N34" s="31" t="s">
        <v>270</v>
      </c>
      <c r="O34" s="31" t="s">
        <v>270</v>
      </c>
      <c r="P34" s="31" t="s">
        <v>270</v>
      </c>
      <c r="Q34" s="31" t="s">
        <v>270</v>
      </c>
      <c r="R34" s="31" t="s">
        <v>270</v>
      </c>
    </row>
    <row r="35" spans="1:18" ht="47.25" customHeight="1">
      <c r="A35" s="28" t="s">
        <v>282</v>
      </c>
      <c r="B35" s="28" t="s">
        <v>283</v>
      </c>
      <c r="C35" s="28" t="s">
        <v>274</v>
      </c>
      <c r="D35" s="28" t="s">
        <v>294</v>
      </c>
      <c r="E35" s="32" t="s">
        <v>270</v>
      </c>
      <c r="F35" s="31">
        <f>F33-E33</f>
        <v>0.9874744344929738</v>
      </c>
      <c r="G35" s="31">
        <f>G33-F33</f>
        <v>0.40832256100839004</v>
      </c>
      <c r="H35" s="31">
        <f>H33-G33</f>
        <v>-0.18926986335024765</v>
      </c>
      <c r="I35" s="31">
        <f>I33-H33</f>
        <v>-21.253346384391815</v>
      </c>
      <c r="J35" s="31" t="s">
        <v>270</v>
      </c>
      <c r="K35" s="31" t="s">
        <v>270</v>
      </c>
      <c r="L35" s="31" t="s">
        <v>270</v>
      </c>
      <c r="M35" s="31" t="s">
        <v>270</v>
      </c>
      <c r="N35" s="31" t="s">
        <v>270</v>
      </c>
      <c r="O35" s="31" t="s">
        <v>270</v>
      </c>
      <c r="P35" s="31" t="s">
        <v>270</v>
      </c>
      <c r="Q35" s="31" t="s">
        <v>270</v>
      </c>
      <c r="R35" s="31" t="s">
        <v>270</v>
      </c>
    </row>
    <row r="36" spans="1:18" ht="86.25" customHeight="1">
      <c r="A36" s="28" t="s">
        <v>284</v>
      </c>
      <c r="B36" s="28" t="s">
        <v>285</v>
      </c>
      <c r="C36" s="28" t="s">
        <v>270</v>
      </c>
      <c r="D36" s="28" t="s">
        <v>508</v>
      </c>
      <c r="E36" s="31">
        <f>E33/E32</f>
        <v>0.682661579707099</v>
      </c>
      <c r="F36" s="31">
        <f>F33/F32</f>
        <v>1.1111168835471408</v>
      </c>
      <c r="G36" s="31">
        <f>G33/G32</f>
        <v>1.2638921729237553</v>
      </c>
      <c r="H36" s="31">
        <f>H33/H32</f>
        <v>1.2124862424643124</v>
      </c>
      <c r="I36" s="31" t="s">
        <v>270</v>
      </c>
      <c r="J36" s="31" t="s">
        <v>270</v>
      </c>
      <c r="K36" s="31" t="s">
        <v>270</v>
      </c>
      <c r="L36" s="31" t="s">
        <v>270</v>
      </c>
      <c r="M36" s="31" t="s">
        <v>270</v>
      </c>
      <c r="N36" s="31" t="s">
        <v>270</v>
      </c>
      <c r="O36" s="31" t="s">
        <v>270</v>
      </c>
      <c r="P36" s="31" t="s">
        <v>270</v>
      </c>
      <c r="Q36" s="31" t="s">
        <v>270</v>
      </c>
      <c r="R36" s="31" t="s">
        <v>270</v>
      </c>
    </row>
    <row r="37" spans="1:18" ht="50.25" customHeight="1">
      <c r="A37" s="28" t="s">
        <v>286</v>
      </c>
      <c r="B37" s="28" t="s">
        <v>287</v>
      </c>
      <c r="C37" s="28" t="s">
        <v>288</v>
      </c>
      <c r="D37" s="28" t="s">
        <v>289</v>
      </c>
      <c r="E37" s="31">
        <f>'приложение №2'!D34/'приложение №2'!D35</f>
        <v>40.55962246844529</v>
      </c>
      <c r="F37" s="31">
        <f>'приложение №2'!E34/'приложение №2'!E35</f>
        <v>29.788099186596057</v>
      </c>
      <c r="G37" s="31">
        <f>'приложение №2'!F34/'приложение №2'!F35</f>
        <v>37.37448166885529</v>
      </c>
      <c r="H37" s="31">
        <f>'приложение №2'!G34/'приложение №2'!G35</f>
        <v>36.802957683496906</v>
      </c>
      <c r="I37" s="31">
        <f>'приложение №2'!H34/'приложение №2'!H35</f>
        <v>35.36347640823902</v>
      </c>
      <c r="J37" s="31">
        <f>'приложение №2'!I34/'приложение №2'!I35</f>
        <v>34.30257211599185</v>
      </c>
      <c r="K37" s="31">
        <f>'приложение №2'!J34/'приложение №2'!J35</f>
        <v>33.273494952512095</v>
      </c>
      <c r="L37" s="31">
        <f>'приложение №2'!K34/'приложение №2'!K35</f>
        <v>32.27529010393673</v>
      </c>
      <c r="M37" s="31">
        <f>'приложение №2'!L34/'приложение №2'!L35</f>
        <v>32.27529010393684</v>
      </c>
      <c r="N37" s="31">
        <f>'приложение №2'!M34/'приложение №2'!M35</f>
        <v>32.27529010393684</v>
      </c>
      <c r="O37" s="31">
        <f>'приложение №2'!N34/'приложение №2'!N35</f>
        <v>32.27529010393684</v>
      </c>
      <c r="P37" s="31">
        <f>'приложение №2'!O34/'приложение №2'!O35</f>
        <v>32.27529010393684</v>
      </c>
      <c r="Q37" s="31">
        <f>'приложение №2'!P34/'приложение №2'!P35</f>
        <v>32.27529010393684</v>
      </c>
      <c r="R37" s="31">
        <f>'приложение №2'!Q34/'приложение №2'!Q35</f>
        <v>32.27529010393684</v>
      </c>
    </row>
    <row r="38" spans="1:18" ht="54" customHeight="1">
      <c r="A38" s="28" t="s">
        <v>290</v>
      </c>
      <c r="B38" s="28" t="s">
        <v>291</v>
      </c>
      <c r="C38" s="28" t="s">
        <v>288</v>
      </c>
      <c r="D38" s="28" t="s">
        <v>292</v>
      </c>
      <c r="E38" s="38" t="s">
        <v>270</v>
      </c>
      <c r="F38" s="38" t="s">
        <v>270</v>
      </c>
      <c r="G38" s="38" t="s">
        <v>270</v>
      </c>
      <c r="H38" s="38" t="s">
        <v>270</v>
      </c>
      <c r="I38" s="38" t="s">
        <v>270</v>
      </c>
      <c r="J38" s="38" t="s">
        <v>270</v>
      </c>
      <c r="K38" s="38" t="s">
        <v>270</v>
      </c>
      <c r="L38" s="38" t="s">
        <v>270</v>
      </c>
      <c r="M38" s="38" t="s">
        <v>270</v>
      </c>
      <c r="N38" s="38" t="s">
        <v>270</v>
      </c>
      <c r="O38" s="38" t="s">
        <v>270</v>
      </c>
      <c r="P38" s="38" t="s">
        <v>270</v>
      </c>
      <c r="Q38" s="38" t="s">
        <v>270</v>
      </c>
      <c r="R38" s="38" t="s">
        <v>270</v>
      </c>
    </row>
    <row r="39" spans="1:18" ht="52.5" customHeight="1">
      <c r="A39" s="28" t="s">
        <v>295</v>
      </c>
      <c r="B39" s="28" t="s">
        <v>296</v>
      </c>
      <c r="C39" s="28" t="s">
        <v>288</v>
      </c>
      <c r="D39" s="28" t="s">
        <v>309</v>
      </c>
      <c r="E39" s="38" t="s">
        <v>270</v>
      </c>
      <c r="F39" s="31">
        <f>F37-E37</f>
        <v>-10.771523281849234</v>
      </c>
      <c r="G39" s="31">
        <f aca="true" t="shared" si="3" ref="G39:L39">G37-F37</f>
        <v>7.586382482259232</v>
      </c>
      <c r="H39" s="31">
        <f t="shared" si="3"/>
        <v>-0.5715239853583824</v>
      </c>
      <c r="I39" s="31">
        <f t="shared" si="3"/>
        <v>-1.439481275257883</v>
      </c>
      <c r="J39" s="31">
        <f t="shared" si="3"/>
        <v>-1.060904292247173</v>
      </c>
      <c r="K39" s="31">
        <f t="shared" si="3"/>
        <v>-1.029077163479755</v>
      </c>
      <c r="L39" s="31">
        <f t="shared" si="3"/>
        <v>-0.9982048485753623</v>
      </c>
      <c r="M39" s="31" t="s">
        <v>270</v>
      </c>
      <c r="N39" s="31" t="s">
        <v>270</v>
      </c>
      <c r="O39" s="31" t="s">
        <v>270</v>
      </c>
      <c r="P39" s="31" t="s">
        <v>270</v>
      </c>
      <c r="Q39" s="31" t="s">
        <v>270</v>
      </c>
      <c r="R39" s="31" t="s">
        <v>270</v>
      </c>
    </row>
    <row r="40" spans="1:18" ht="45" customHeight="1">
      <c r="A40" s="28" t="s">
        <v>297</v>
      </c>
      <c r="B40" s="28" t="s">
        <v>298</v>
      </c>
      <c r="C40" s="28" t="s">
        <v>288</v>
      </c>
      <c r="D40" s="28" t="s">
        <v>310</v>
      </c>
      <c r="E40" s="38" t="s">
        <v>270</v>
      </c>
      <c r="F40" s="38" t="s">
        <v>270</v>
      </c>
      <c r="G40" s="38" t="s">
        <v>270</v>
      </c>
      <c r="H40" s="38" t="s">
        <v>270</v>
      </c>
      <c r="I40" s="38" t="s">
        <v>270</v>
      </c>
      <c r="J40" s="38" t="s">
        <v>270</v>
      </c>
      <c r="K40" s="38" t="s">
        <v>270</v>
      </c>
      <c r="L40" s="38" t="s">
        <v>270</v>
      </c>
      <c r="M40" s="38" t="s">
        <v>270</v>
      </c>
      <c r="N40" s="38" t="s">
        <v>270</v>
      </c>
      <c r="O40" s="38" t="s">
        <v>270</v>
      </c>
      <c r="P40" s="38" t="s">
        <v>270</v>
      </c>
      <c r="Q40" s="38" t="s">
        <v>270</v>
      </c>
      <c r="R40" s="38" t="s">
        <v>270</v>
      </c>
    </row>
    <row r="41" spans="1:18" ht="90.75" customHeight="1">
      <c r="A41" s="28" t="s">
        <v>299</v>
      </c>
      <c r="B41" s="28" t="s">
        <v>300</v>
      </c>
      <c r="C41" s="28" t="s">
        <v>270</v>
      </c>
      <c r="D41" s="28" t="s">
        <v>509</v>
      </c>
      <c r="E41" s="38" t="s">
        <v>270</v>
      </c>
      <c r="F41" s="38" t="s">
        <v>270</v>
      </c>
      <c r="G41" s="38" t="s">
        <v>270</v>
      </c>
      <c r="H41" s="38" t="s">
        <v>270</v>
      </c>
      <c r="I41" s="38" t="s">
        <v>270</v>
      </c>
      <c r="J41" s="38" t="s">
        <v>270</v>
      </c>
      <c r="K41" s="38" t="s">
        <v>270</v>
      </c>
      <c r="L41" s="38" t="s">
        <v>270</v>
      </c>
      <c r="M41" s="38" t="s">
        <v>270</v>
      </c>
      <c r="N41" s="38" t="s">
        <v>270</v>
      </c>
      <c r="O41" s="38" t="s">
        <v>270</v>
      </c>
      <c r="P41" s="38" t="s">
        <v>270</v>
      </c>
      <c r="Q41" s="38" t="s">
        <v>270</v>
      </c>
      <c r="R41" s="38" t="s">
        <v>270</v>
      </c>
    </row>
    <row r="42" spans="1:18" ht="66.75" customHeight="1">
      <c r="A42" s="28" t="s">
        <v>301</v>
      </c>
      <c r="B42" s="28" t="s">
        <v>302</v>
      </c>
      <c r="C42" s="28" t="s">
        <v>206</v>
      </c>
      <c r="D42" s="28" t="s">
        <v>511</v>
      </c>
      <c r="E42" s="32">
        <f>'приложение №2'!D34/('приложение №2'!D34+'приложение №2'!D36)</f>
        <v>1</v>
      </c>
      <c r="F42" s="32">
        <f>'приложение №2'!E34/('приложение №2'!E34+'приложение №2'!E36)</f>
        <v>1</v>
      </c>
      <c r="G42" s="32">
        <f>'приложение №2'!F34/('приложение №2'!F34+'приложение №2'!F36)</f>
        <v>1</v>
      </c>
      <c r="H42" s="32">
        <f>'приложение №2'!G34/('приложение №2'!G34+'приложение №2'!G36)</f>
        <v>1</v>
      </c>
      <c r="I42" s="32">
        <f>'приложение №2'!H34/('приложение №2'!H34+'приложение №2'!H36)</f>
        <v>1</v>
      </c>
      <c r="J42" s="32">
        <f>'приложение №2'!I34/('приложение №2'!I34+'приложение №2'!I36)</f>
        <v>1</v>
      </c>
      <c r="K42" s="32">
        <f>'приложение №2'!J34/('приложение №2'!J34+'приложение №2'!J36)</f>
        <v>1</v>
      </c>
      <c r="L42" s="32">
        <f>'приложение №2'!K34/('приложение №2'!K34+'приложение №2'!K36)</f>
        <v>1</v>
      </c>
      <c r="M42" s="32">
        <f>'приложение №2'!L34/('приложение №2'!L34+'приложение №2'!L36)</f>
        <v>1</v>
      </c>
      <c r="N42" s="32">
        <f>'приложение №2'!M34/('приложение №2'!M34+'приложение №2'!M36)</f>
        <v>1</v>
      </c>
      <c r="O42" s="32">
        <f>'приложение №2'!N34/('приложение №2'!N34+'приложение №2'!N36)</f>
        <v>1</v>
      </c>
      <c r="P42" s="32">
        <f>'приложение №2'!O34/('приложение №2'!O34+'приложение №2'!O36)</f>
        <v>1</v>
      </c>
      <c r="Q42" s="32">
        <f>'приложение №2'!P34/('приложение №2'!P34+'приложение №2'!P36)</f>
        <v>1</v>
      </c>
      <c r="R42" s="32">
        <f>'приложение №2'!Q34/('приложение №2'!Q34+'приложение №2'!Q36)</f>
        <v>1</v>
      </c>
    </row>
    <row r="43" spans="1:18" ht="68.25" customHeight="1">
      <c r="A43" s="28" t="s">
        <v>303</v>
      </c>
      <c r="B43" s="28" t="s">
        <v>304</v>
      </c>
      <c r="C43" s="28" t="s">
        <v>206</v>
      </c>
      <c r="D43" s="28" t="s">
        <v>305</v>
      </c>
      <c r="E43" s="32">
        <f>'приложение №2'!D26/('приложение №2'!D26+'приложение №2'!D28)</f>
        <v>0.09194960881256657</v>
      </c>
      <c r="F43" s="32">
        <f>'приложение №2'!E26/('приложение №2'!E26+'приложение №2'!E28)</f>
        <v>0.13093839905243884</v>
      </c>
      <c r="G43" s="32">
        <f>'приложение №2'!F26/('приложение №2'!F26+'приложение №2'!F28)</f>
        <v>0.16770064917830615</v>
      </c>
      <c r="H43" s="32">
        <f>'приложение №2'!G26/('приложение №2'!G26+'приложение №2'!G28)</f>
        <v>0.17305188111976538</v>
      </c>
      <c r="I43" s="32">
        <f>'приложение №2'!H26/('приложение №2'!H26+'приложение №2'!H28)</f>
        <v>0.1639148659398552</v>
      </c>
      <c r="J43" s="32">
        <f>'приложение №2'!I26/('приложение №2'!I26+'приложение №2'!I28)</f>
        <v>0.15978314494515355</v>
      </c>
      <c r="K43" s="32">
        <f>'приложение №2'!J26/('приложение №2'!J26+'приложение №2'!J28)</f>
        <v>0.1557361710525738</v>
      </c>
      <c r="L43" s="32">
        <f>'приложение №2'!K26/('приложение №2'!K26+'приложение №2'!K28)</f>
        <v>0.15177318315337968</v>
      </c>
      <c r="M43" s="32">
        <f>'приложение №2'!L26/('приложение №2'!L26+'приложение №2'!L28)</f>
        <v>0.15177318315337968</v>
      </c>
      <c r="N43" s="32">
        <f>'приложение №2'!M26/('приложение №2'!M26+'приложение №2'!M28)</f>
        <v>0.15177318315337968</v>
      </c>
      <c r="O43" s="32">
        <f>'приложение №2'!N26/('приложение №2'!N26+'приложение №2'!N28)</f>
        <v>0.15177318315337968</v>
      </c>
      <c r="P43" s="32">
        <f>'приложение №2'!O26/('приложение №2'!O26+'приложение №2'!O28)</f>
        <v>0.15177318315337968</v>
      </c>
      <c r="Q43" s="32">
        <f>'приложение №2'!P26/('приложение №2'!P26+'приложение №2'!P28)</f>
        <v>0.15177318315337968</v>
      </c>
      <c r="R43" s="32">
        <f>'приложение №2'!Q26/('приложение №2'!Q26+'приложение №2'!Q28)</f>
        <v>0.15177318315337968</v>
      </c>
    </row>
    <row r="44" spans="1:18" ht="69" customHeight="1">
      <c r="A44" s="28" t="s">
        <v>306</v>
      </c>
      <c r="B44" s="28" t="s">
        <v>307</v>
      </c>
      <c r="C44" s="28" t="s">
        <v>206</v>
      </c>
      <c r="D44" s="28" t="s">
        <v>308</v>
      </c>
      <c r="E44" s="32">
        <f>'приложение №2'!D30/('приложение №2'!D30+'приложение №2'!D32)</f>
        <v>0.049094125766648386</v>
      </c>
      <c r="F44" s="32">
        <f>'приложение №2'!E30/('приложение №2'!E30+'приложение №2'!E32)</f>
        <v>0.08016787126256418</v>
      </c>
      <c r="G44" s="32">
        <f>'приложение №2'!F30/('приложение №2'!F30+'приложение №2'!F32)</f>
        <v>0.08711953044197121</v>
      </c>
      <c r="H44" s="32">
        <f>'приложение №2'!G30/('приложение №2'!G30+'приложение №2'!G32)</f>
        <v>0.18093659706132095</v>
      </c>
      <c r="I44" s="28" t="s">
        <v>270</v>
      </c>
      <c r="J44" s="28" t="s">
        <v>270</v>
      </c>
      <c r="K44" s="28" t="s">
        <v>270</v>
      </c>
      <c r="L44" s="28" t="s">
        <v>270</v>
      </c>
      <c r="M44" s="28" t="s">
        <v>270</v>
      </c>
      <c r="N44" s="28" t="s">
        <v>270</v>
      </c>
      <c r="O44" s="28" t="s">
        <v>270</v>
      </c>
      <c r="P44" s="28" t="s">
        <v>270</v>
      </c>
      <c r="Q44" s="28" t="s">
        <v>270</v>
      </c>
      <c r="R44" s="28" t="s">
        <v>270</v>
      </c>
    </row>
    <row r="45" spans="1:18" ht="79.5" customHeight="1">
      <c r="A45" s="28" t="s">
        <v>311</v>
      </c>
      <c r="B45" s="28" t="s">
        <v>312</v>
      </c>
      <c r="C45" s="28" t="s">
        <v>270</v>
      </c>
      <c r="D45" s="28" t="s">
        <v>313</v>
      </c>
      <c r="E45" s="32" t="s">
        <v>270</v>
      </c>
      <c r="F45" s="28" t="s">
        <v>270</v>
      </c>
      <c r="G45" s="28" t="s">
        <v>270</v>
      </c>
      <c r="H45" s="28" t="s">
        <v>270</v>
      </c>
      <c r="I45" s="28" t="s">
        <v>270</v>
      </c>
      <c r="J45" s="28" t="s">
        <v>270</v>
      </c>
      <c r="K45" s="28" t="s">
        <v>270</v>
      </c>
      <c r="L45" s="28" t="s">
        <v>270</v>
      </c>
      <c r="M45" s="28" t="s">
        <v>270</v>
      </c>
      <c r="N45" s="28" t="s">
        <v>270</v>
      </c>
      <c r="O45" s="28" t="s">
        <v>270</v>
      </c>
      <c r="P45" s="28" t="s">
        <v>270</v>
      </c>
      <c r="Q45" s="28" t="s">
        <v>270</v>
      </c>
      <c r="R45" s="28" t="s">
        <v>270</v>
      </c>
    </row>
    <row r="46" spans="1:18" ht="25.5">
      <c r="A46" s="28" t="s">
        <v>314</v>
      </c>
      <c r="B46" s="28" t="s">
        <v>315</v>
      </c>
      <c r="C46" s="28"/>
      <c r="D46" s="32" t="s">
        <v>270</v>
      </c>
      <c r="E46" s="32" t="s">
        <v>270</v>
      </c>
      <c r="F46" s="32" t="s">
        <v>270</v>
      </c>
      <c r="G46" s="32" t="s">
        <v>270</v>
      </c>
      <c r="H46" s="32" t="s">
        <v>270</v>
      </c>
      <c r="I46" s="32" t="s">
        <v>270</v>
      </c>
      <c r="J46" s="32" t="s">
        <v>270</v>
      </c>
      <c r="K46" s="32" t="s">
        <v>270</v>
      </c>
      <c r="L46" s="32" t="s">
        <v>270</v>
      </c>
      <c r="M46" s="32" t="s">
        <v>270</v>
      </c>
      <c r="N46" s="32" t="s">
        <v>270</v>
      </c>
      <c r="O46" s="32" t="s">
        <v>270</v>
      </c>
      <c r="P46" s="32" t="s">
        <v>270</v>
      </c>
      <c r="Q46" s="32" t="s">
        <v>270</v>
      </c>
      <c r="R46" s="32" t="s">
        <v>270</v>
      </c>
    </row>
    <row r="47" spans="1:18" ht="22.5" customHeight="1">
      <c r="A47" s="28" t="s">
        <v>316</v>
      </c>
      <c r="B47" s="28" t="s">
        <v>317</v>
      </c>
      <c r="C47" s="28" t="s">
        <v>206</v>
      </c>
      <c r="D47" s="28" t="s">
        <v>318</v>
      </c>
      <c r="E47" s="33">
        <f>'приложение №2'!D41/'приложение №2'!D40</f>
        <v>1.8281107242024838E-05</v>
      </c>
      <c r="F47" s="33">
        <f>'приложение №2'!E41/'приложение №2'!E40</f>
        <v>1.9665045212900334E-05</v>
      </c>
      <c r="G47" s="33">
        <f>'приложение №2'!F41/'приложение №2'!F40</f>
        <v>2.548302889221207E-05</v>
      </c>
      <c r="H47" s="33">
        <f>'приложение №2'!G41/'приложение №2'!G40</f>
        <v>2.098236436636197E-05</v>
      </c>
      <c r="I47" s="32">
        <f>'приложение №2'!H41/'приложение №2'!H40</f>
        <v>0.024612870657076822</v>
      </c>
      <c r="J47" s="32">
        <f>'приложение №2'!I41/'приложение №2'!I40</f>
        <v>0.03167971358879612</v>
      </c>
      <c r="K47" s="32">
        <f>'приложение №2'!J41/'приложение №2'!J40</f>
        <v>0.037050753612835545</v>
      </c>
      <c r="L47" s="32">
        <f>'приложение №2'!K41/'приложение №2'!K40</f>
        <v>0.041090812070344554</v>
      </c>
      <c r="M47" s="32">
        <f>'приложение №2'!L41/'приложение №2'!L40</f>
        <v>0.0461345505733686</v>
      </c>
      <c r="N47" s="32">
        <f>'приложение №2'!M41/'приложение №2'!M40</f>
        <v>0.05180185301089048</v>
      </c>
      <c r="O47" s="32">
        <f>'приложение №2'!N41/'приложение №2'!N40</f>
        <v>0.05817036295567877</v>
      </c>
      <c r="P47" s="32">
        <f>'приложение №2'!O41/'приложение №2'!O40</f>
        <v>0.06532746061098614</v>
      </c>
      <c r="Q47" s="32">
        <f>'приложение №2'!P41/'приложение №2'!P40</f>
        <v>0.07337149244002124</v>
      </c>
      <c r="R47" s="32">
        <f>'приложение №2'!Q41/'приложение №2'!Q40</f>
        <v>0.08241315717544428</v>
      </c>
    </row>
    <row r="48" spans="1:18" ht="22.5" customHeight="1">
      <c r="A48" s="28" t="s">
        <v>328</v>
      </c>
      <c r="B48" s="28" t="s">
        <v>319</v>
      </c>
      <c r="C48" s="28" t="s">
        <v>206</v>
      </c>
      <c r="D48" s="28" t="s">
        <v>320</v>
      </c>
      <c r="E48" s="33">
        <f>'приложение №2'!D41/'приложение №2'!$D$40</f>
        <v>1.8281107242024838E-05</v>
      </c>
      <c r="F48" s="33">
        <f>'приложение №2'!E41/'приложение №2'!$D$40</f>
        <v>2.0811970484445144E-05</v>
      </c>
      <c r="G48" s="33">
        <f>'приложение №2'!F41/'приложение №2'!$D$40</f>
        <v>2.53705429580045E-05</v>
      </c>
      <c r="H48" s="33">
        <f>'приложение №2'!G41/'приложение №2'!$D$40</f>
        <v>2.63786940484891E-05</v>
      </c>
      <c r="I48" s="32">
        <f>'приложение №2'!H41/'приложение №2'!$D$40</f>
        <v>0.03237005623631587</v>
      </c>
      <c r="J48" s="33">
        <f>'приложение №2'!P41/'приложение №2'!$D$40</f>
        <v>0.07976787429998924</v>
      </c>
      <c r="K48" s="32">
        <f>'приложение №2'!Q41/'приложение №2'!$D$40</f>
        <v>0.08959777351687455</v>
      </c>
      <c r="L48" s="32">
        <f>'приложение №2'!R41/'приложение №2'!$D$40</f>
        <v>0</v>
      </c>
      <c r="M48" s="32">
        <f>'приложение №2'!S41/'приложение №2'!$D$40</f>
        <v>0</v>
      </c>
      <c r="N48" s="32">
        <f>'приложение №2'!T41/'приложение №2'!$D$40</f>
        <v>0</v>
      </c>
      <c r="O48" s="32">
        <f>'приложение №2'!U41/'приложение №2'!$D$40</f>
        <v>0</v>
      </c>
      <c r="P48" s="32">
        <f>'приложение №2'!V41/'приложение №2'!$D$40</f>
        <v>0</v>
      </c>
      <c r="Q48" s="32">
        <f>'приложение №2'!W41/'приложение №2'!$D$40</f>
        <v>0</v>
      </c>
      <c r="R48" s="32">
        <f>'приложение №2'!X41/'приложение №2'!$D$40</f>
        <v>0</v>
      </c>
    </row>
    <row r="49" spans="1:18" ht="38.25">
      <c r="A49" s="28" t="s">
        <v>321</v>
      </c>
      <c r="B49" s="28" t="s">
        <v>322</v>
      </c>
      <c r="C49" s="28"/>
      <c r="D49" s="28"/>
      <c r="E49" s="31" t="s">
        <v>270</v>
      </c>
      <c r="F49" s="31" t="s">
        <v>270</v>
      </c>
      <c r="G49" s="31" t="s">
        <v>270</v>
      </c>
      <c r="H49" s="31" t="s">
        <v>270</v>
      </c>
      <c r="I49" s="31" t="s">
        <v>270</v>
      </c>
      <c r="J49" s="31" t="s">
        <v>270</v>
      </c>
      <c r="K49" s="31" t="s">
        <v>270</v>
      </c>
      <c r="L49" s="31" t="s">
        <v>270</v>
      </c>
      <c r="M49" s="31" t="s">
        <v>270</v>
      </c>
      <c r="N49" s="31" t="s">
        <v>270</v>
      </c>
      <c r="O49" s="31" t="s">
        <v>270</v>
      </c>
      <c r="P49" s="31" t="s">
        <v>270</v>
      </c>
      <c r="Q49" s="31" t="s">
        <v>270</v>
      </c>
      <c r="R49" s="31" t="s">
        <v>270</v>
      </c>
    </row>
    <row r="50" spans="1:18" ht="18" customHeight="1">
      <c r="A50" s="28" t="s">
        <v>323</v>
      </c>
      <c r="B50" s="28" t="s">
        <v>317</v>
      </c>
      <c r="C50" s="28" t="s">
        <v>66</v>
      </c>
      <c r="D50" s="28" t="s">
        <v>329</v>
      </c>
      <c r="E50" s="32" t="s">
        <v>270</v>
      </c>
      <c r="F50" s="32" t="s">
        <v>270</v>
      </c>
      <c r="G50" s="32" t="s">
        <v>270</v>
      </c>
      <c r="H50" s="32" t="s">
        <v>270</v>
      </c>
      <c r="I50" s="31">
        <f aca="true" t="shared" si="4" ref="I50:R50">I47-H47</f>
        <v>0.02459188829271046</v>
      </c>
      <c r="J50" s="31">
        <f t="shared" si="4"/>
        <v>0.007066842931719299</v>
      </c>
      <c r="K50" s="31">
        <f t="shared" si="4"/>
        <v>0.005371040024039424</v>
      </c>
      <c r="L50" s="31">
        <f t="shared" si="4"/>
        <v>0.004040058457509009</v>
      </c>
      <c r="M50" s="31">
        <f t="shared" si="4"/>
        <v>0.005043738503024045</v>
      </c>
      <c r="N50" s="31">
        <f t="shared" si="4"/>
        <v>0.005667302437521879</v>
      </c>
      <c r="O50" s="31">
        <f t="shared" si="4"/>
        <v>0.006368509944788291</v>
      </c>
      <c r="P50" s="31">
        <f t="shared" si="4"/>
        <v>0.007157097655307372</v>
      </c>
      <c r="Q50" s="31">
        <f t="shared" si="4"/>
        <v>0.008044031829035098</v>
      </c>
      <c r="R50" s="31">
        <f t="shared" si="4"/>
        <v>0.009041664735423047</v>
      </c>
    </row>
    <row r="51" spans="1:18" ht="18" customHeight="1">
      <c r="A51" s="28" t="s">
        <v>324</v>
      </c>
      <c r="B51" s="28" t="s">
        <v>319</v>
      </c>
      <c r="C51" s="28" t="s">
        <v>66</v>
      </c>
      <c r="D51" s="28" t="s">
        <v>330</v>
      </c>
      <c r="E51" s="32" t="s">
        <v>270</v>
      </c>
      <c r="F51" s="32" t="s">
        <v>270</v>
      </c>
      <c r="G51" s="32" t="s">
        <v>270</v>
      </c>
      <c r="H51" s="32" t="s">
        <v>270</v>
      </c>
      <c r="I51" s="31">
        <f>I48-H48</f>
        <v>0.032343677542267385</v>
      </c>
      <c r="J51" s="31">
        <f>J48-I48</f>
        <v>0.04739781806367337</v>
      </c>
      <c r="K51" s="31">
        <f>K48-J48</f>
        <v>0.009829899216885304</v>
      </c>
      <c r="L51" s="31">
        <f>L48-K48</f>
        <v>-0.08959777351687455</v>
      </c>
      <c r="M51" s="32" t="s">
        <v>270</v>
      </c>
      <c r="N51" s="32" t="s">
        <v>270</v>
      </c>
      <c r="O51" s="32" t="s">
        <v>270</v>
      </c>
      <c r="P51" s="32" t="s">
        <v>270</v>
      </c>
      <c r="Q51" s="32" t="s">
        <v>270</v>
      </c>
      <c r="R51" s="32" t="s">
        <v>270</v>
      </c>
    </row>
    <row r="52" spans="1:18" ht="51" customHeight="1">
      <c r="A52" s="28" t="s">
        <v>325</v>
      </c>
      <c r="B52" s="28" t="s">
        <v>326</v>
      </c>
      <c r="C52" s="28" t="s">
        <v>206</v>
      </c>
      <c r="D52" s="28" t="s">
        <v>327</v>
      </c>
      <c r="E52" s="32" t="s">
        <v>270</v>
      </c>
      <c r="F52" s="32" t="s">
        <v>270</v>
      </c>
      <c r="G52" s="32" t="s">
        <v>270</v>
      </c>
      <c r="H52" s="32" t="s">
        <v>270</v>
      </c>
      <c r="I52" s="32" t="s">
        <v>270</v>
      </c>
      <c r="J52" s="32" t="s">
        <v>270</v>
      </c>
      <c r="K52" s="32" t="s">
        <v>270</v>
      </c>
      <c r="L52" s="32" t="s">
        <v>270</v>
      </c>
      <c r="M52" s="32" t="s">
        <v>270</v>
      </c>
      <c r="N52" s="32" t="s">
        <v>270</v>
      </c>
      <c r="O52" s="32" t="s">
        <v>270</v>
      </c>
      <c r="P52" s="32" t="s">
        <v>270</v>
      </c>
      <c r="Q52" s="32" t="s">
        <v>270</v>
      </c>
      <c r="R52" s="32" t="s">
        <v>270</v>
      </c>
    </row>
    <row r="53" spans="1:18" ht="56.25" customHeight="1">
      <c r="A53" s="28" t="s">
        <v>331</v>
      </c>
      <c r="B53" s="28" t="s">
        <v>332</v>
      </c>
      <c r="C53" s="28" t="s">
        <v>66</v>
      </c>
      <c r="D53" s="28" t="s">
        <v>350</v>
      </c>
      <c r="E53" s="28" t="s">
        <v>270</v>
      </c>
      <c r="F53" s="28" t="s">
        <v>270</v>
      </c>
      <c r="G53" s="28" t="s">
        <v>270</v>
      </c>
      <c r="H53" s="28" t="s">
        <v>270</v>
      </c>
      <c r="I53" s="28" t="s">
        <v>270</v>
      </c>
      <c r="J53" s="28" t="s">
        <v>270</v>
      </c>
      <c r="K53" s="28" t="s">
        <v>270</v>
      </c>
      <c r="L53" s="28" t="s">
        <v>270</v>
      </c>
      <c r="M53" s="28" t="s">
        <v>270</v>
      </c>
      <c r="N53" s="28" t="s">
        <v>270</v>
      </c>
      <c r="O53" s="28" t="s">
        <v>270</v>
      </c>
      <c r="P53" s="28" t="s">
        <v>270</v>
      </c>
      <c r="Q53" s="28" t="s">
        <v>270</v>
      </c>
      <c r="R53" s="28" t="s">
        <v>270</v>
      </c>
    </row>
    <row r="54" spans="1:18" ht="61.5" customHeight="1">
      <c r="A54" s="28" t="s">
        <v>333</v>
      </c>
      <c r="B54" s="28" t="s">
        <v>334</v>
      </c>
      <c r="C54" s="28" t="s">
        <v>206</v>
      </c>
      <c r="D54" s="28" t="s">
        <v>335</v>
      </c>
      <c r="E54" s="28" t="s">
        <v>270</v>
      </c>
      <c r="F54" s="28" t="s">
        <v>270</v>
      </c>
      <c r="G54" s="28" t="s">
        <v>270</v>
      </c>
      <c r="H54" s="28" t="s">
        <v>270</v>
      </c>
      <c r="I54" s="32">
        <f>'приложение №2'!H44/'приложение №2'!H43</f>
        <v>1</v>
      </c>
      <c r="J54" s="28" t="s">
        <v>270</v>
      </c>
      <c r="K54" s="28" t="s">
        <v>270</v>
      </c>
      <c r="L54" s="28" t="s">
        <v>270</v>
      </c>
      <c r="M54" s="28" t="s">
        <v>270</v>
      </c>
      <c r="N54" s="32">
        <f>'приложение №2'!M44/'приложение №2'!M43</f>
        <v>1</v>
      </c>
      <c r="O54" s="28" t="s">
        <v>270</v>
      </c>
      <c r="P54" s="28" t="s">
        <v>270</v>
      </c>
      <c r="Q54" s="28" t="s">
        <v>270</v>
      </c>
      <c r="R54" s="28" t="s">
        <v>270</v>
      </c>
    </row>
    <row r="55" spans="1:18" ht="25.5">
      <c r="A55" s="28" t="s">
        <v>336</v>
      </c>
      <c r="B55" s="28" t="s">
        <v>337</v>
      </c>
      <c r="C55" s="28" t="s">
        <v>338</v>
      </c>
      <c r="D55" s="28" t="s">
        <v>339</v>
      </c>
      <c r="E55" s="28" t="s">
        <v>270</v>
      </c>
      <c r="F55" s="28" t="s">
        <v>270</v>
      </c>
      <c r="G55" s="28" t="s">
        <v>270</v>
      </c>
      <c r="H55" s="28" t="s">
        <v>270</v>
      </c>
      <c r="I55" s="28">
        <f>'приложение №2'!H45</f>
        <v>23</v>
      </c>
      <c r="J55" s="28">
        <f>'приложение №2'!P45</f>
        <v>23</v>
      </c>
      <c r="K55" s="28">
        <f>'приложение №2'!Q45</f>
        <v>23</v>
      </c>
      <c r="L55" s="28" t="s">
        <v>270</v>
      </c>
      <c r="M55" s="28" t="s">
        <v>270</v>
      </c>
      <c r="N55" s="28" t="s">
        <v>270</v>
      </c>
      <c r="O55" s="28" t="s">
        <v>270</v>
      </c>
      <c r="P55" s="28" t="s">
        <v>270</v>
      </c>
      <c r="Q55" s="28" t="s">
        <v>270</v>
      </c>
      <c r="R55" s="28" t="s">
        <v>270</v>
      </c>
    </row>
    <row r="56" spans="1:18" ht="51">
      <c r="A56" s="28" t="s">
        <v>340</v>
      </c>
      <c r="B56" s="28" t="s">
        <v>341</v>
      </c>
      <c r="C56" s="28" t="s">
        <v>206</v>
      </c>
      <c r="D56" s="28" t="s">
        <v>342</v>
      </c>
      <c r="E56" s="32">
        <f>'приложение №2'!D47/'приложение №2'!D46</f>
        <v>0</v>
      </c>
      <c r="F56" s="32">
        <f>'приложение №2'!E47/'приложение №2'!E46</f>
        <v>0</v>
      </c>
      <c r="G56" s="32">
        <f>'приложение №2'!F47/'приложение №2'!F46</f>
        <v>0</v>
      </c>
      <c r="H56" s="32">
        <f>'приложение №2'!G47/'приложение №2'!G46</f>
        <v>0</v>
      </c>
      <c r="I56" s="32">
        <f>'приложение №2'!H47/'приложение №2'!H46</f>
        <v>0.21100917431192662</v>
      </c>
      <c r="J56" s="32">
        <f>'приложение №2'!I47/'приложение №2'!I46</f>
        <v>0.21100917431192662</v>
      </c>
      <c r="K56" s="32">
        <f>'приложение №2'!J47/'приложение №2'!J46</f>
        <v>0.21100917431192662</v>
      </c>
      <c r="L56" s="32">
        <f>'приложение №2'!K47/'приложение №2'!K46</f>
        <v>0.21100917431192662</v>
      </c>
      <c r="M56" s="32">
        <f>'приложение №2'!L47/'приложение №2'!L46</f>
        <v>0.21100917431192662</v>
      </c>
      <c r="N56" s="32">
        <f>'приложение №2'!M47/'приложение №2'!M46</f>
        <v>0.21100917431192662</v>
      </c>
      <c r="O56" s="32">
        <f>'приложение №2'!N47/'приложение №2'!N46</f>
        <v>0.21100917431192662</v>
      </c>
      <c r="P56" s="32">
        <f>'приложение №2'!O47/'приложение №2'!O46</f>
        <v>0.21100917431192662</v>
      </c>
      <c r="Q56" s="32">
        <f>'приложение №2'!P47/'приложение №2'!P46</f>
        <v>0.21100917431192662</v>
      </c>
      <c r="R56" s="32">
        <f>'приложение №2'!Q47/'приложение №2'!Q46</f>
        <v>0.21100917431192662</v>
      </c>
    </row>
    <row r="57" spans="1:18" ht="79.5" customHeight="1">
      <c r="A57" s="28" t="s">
        <v>343</v>
      </c>
      <c r="B57" s="28" t="s">
        <v>344</v>
      </c>
      <c r="C57" s="28" t="s">
        <v>206</v>
      </c>
      <c r="D57" s="28" t="s">
        <v>345</v>
      </c>
      <c r="E57" s="32" t="s">
        <v>270</v>
      </c>
      <c r="F57" s="32" t="s">
        <v>270</v>
      </c>
      <c r="G57" s="32" t="s">
        <v>270</v>
      </c>
      <c r="H57" s="32">
        <f>'приложение №2'!G49/'приложение №2'!G48</f>
        <v>0</v>
      </c>
      <c r="I57" s="32">
        <f>'приложение №2'!H49/'приложение №2'!H48</f>
        <v>0.15074623264765225</v>
      </c>
      <c r="J57" s="32">
        <f>'приложение №2'!I49/'приложение №2'!I48</f>
        <v>0.49726530760639165</v>
      </c>
      <c r="K57" s="32">
        <f>'приложение №2'!J49/'приложение №2'!J48</f>
        <v>0.01570044098835527</v>
      </c>
      <c r="L57" s="32">
        <f>'приложение №2'!K49/'приложение №2'!K48</f>
        <v>0.011221779884115206</v>
      </c>
      <c r="M57" s="32" t="s">
        <v>270</v>
      </c>
      <c r="N57" s="32" t="s">
        <v>270</v>
      </c>
      <c r="O57" s="32" t="s">
        <v>270</v>
      </c>
      <c r="P57" s="32" t="s">
        <v>270</v>
      </c>
      <c r="Q57" s="32" t="s">
        <v>270</v>
      </c>
      <c r="R57" s="32" t="s">
        <v>270</v>
      </c>
    </row>
    <row r="58" spans="1:18" ht="59.25" customHeight="1">
      <c r="A58" s="28" t="s">
        <v>346</v>
      </c>
      <c r="B58" s="28" t="s">
        <v>347</v>
      </c>
      <c r="C58" s="28" t="s">
        <v>348</v>
      </c>
      <c r="D58" s="28" t="s">
        <v>349</v>
      </c>
      <c r="E58" s="28" t="s">
        <v>270</v>
      </c>
      <c r="F58" s="28" t="s">
        <v>270</v>
      </c>
      <c r="G58" s="28" t="s">
        <v>270</v>
      </c>
      <c r="H58" s="28" t="s">
        <v>270</v>
      </c>
      <c r="I58" s="28" t="s">
        <v>270</v>
      </c>
      <c r="J58" s="28" t="s">
        <v>270</v>
      </c>
      <c r="K58" s="28" t="s">
        <v>270</v>
      </c>
      <c r="L58" s="28" t="s">
        <v>270</v>
      </c>
      <c r="M58" s="28" t="s">
        <v>270</v>
      </c>
      <c r="N58" s="28" t="s">
        <v>270</v>
      </c>
      <c r="O58" s="28" t="s">
        <v>270</v>
      </c>
      <c r="P58" s="28" t="s">
        <v>270</v>
      </c>
      <c r="Q58" s="28" t="s">
        <v>270</v>
      </c>
      <c r="R58" s="28" t="s">
        <v>270</v>
      </c>
    </row>
    <row r="59" spans="1:18" ht="20.25" customHeight="1">
      <c r="A59" s="80" t="s">
        <v>351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2"/>
    </row>
    <row r="60" spans="1:18" ht="90" customHeight="1">
      <c r="A60" s="28" t="s">
        <v>352</v>
      </c>
      <c r="B60" s="28" t="s">
        <v>353</v>
      </c>
      <c r="C60" s="28" t="s">
        <v>206</v>
      </c>
      <c r="D60" s="28" t="s">
        <v>354</v>
      </c>
      <c r="E60" s="32">
        <f>'приложение №2'!D53/'приложение №2'!D52</f>
        <v>0.14429290143478124</v>
      </c>
      <c r="F60" s="32">
        <f>'приложение №2'!E53/'приложение №2'!E52</f>
        <v>0.4907046564378845</v>
      </c>
      <c r="G60" s="32">
        <f>'приложение №2'!F53/'приложение №2'!F52</f>
        <v>0.6903709115906344</v>
      </c>
      <c r="H60" s="32">
        <f>'приложение №2'!G53/'приложение №2'!G52</f>
        <v>0.7886765205007672</v>
      </c>
      <c r="I60" s="32">
        <f>'приложение №2'!H53/'приложение №2'!H52</f>
        <v>0.8422364563237871</v>
      </c>
      <c r="J60" s="32">
        <f>'приложение №2'!I53/'приложение №2'!I52</f>
        <v>1</v>
      </c>
      <c r="K60" s="32">
        <f>'приложение №2'!J53/'приложение №2'!J52</f>
        <v>1</v>
      </c>
      <c r="L60" s="32">
        <f>'приложение №2'!K53/'приложение №2'!K52</f>
        <v>1.0000000000000004</v>
      </c>
      <c r="M60" s="32">
        <f>'приложение №2'!L53/'приложение №2'!L52</f>
        <v>1</v>
      </c>
      <c r="N60" s="32">
        <f>'приложение №2'!M53/'приложение №2'!M52</f>
        <v>1.0000000000000004</v>
      </c>
      <c r="O60" s="32">
        <f>'приложение №2'!N53/'приложение №2'!N52</f>
        <v>1</v>
      </c>
      <c r="P60" s="32">
        <f>'приложение №2'!O53/'приложение №2'!O52</f>
        <v>1</v>
      </c>
      <c r="Q60" s="32">
        <f>'приложение №2'!P53/'приложение №2'!P52</f>
        <v>1</v>
      </c>
      <c r="R60" s="32">
        <f>'приложение №2'!Q53/'приложение №2'!Q52</f>
        <v>1</v>
      </c>
    </row>
    <row r="61" spans="1:18" ht="75.75" customHeight="1">
      <c r="A61" s="28" t="s">
        <v>355</v>
      </c>
      <c r="B61" s="28" t="s">
        <v>356</v>
      </c>
      <c r="C61" s="28" t="s">
        <v>206</v>
      </c>
      <c r="D61" s="28" t="s">
        <v>357</v>
      </c>
      <c r="E61" s="32">
        <f>'приложение №2'!D55/'приложение №2'!D54</f>
        <v>0</v>
      </c>
      <c r="F61" s="32">
        <f>'приложение №2'!E55/'приложение №2'!E54</f>
        <v>0</v>
      </c>
      <c r="G61" s="32">
        <f>'приложение №2'!F55/'приложение №2'!F54</f>
        <v>0.08603077220447079</v>
      </c>
      <c r="H61" s="32">
        <f>'приложение №2'!G55/'приложение №2'!G54</f>
        <v>0.36914804873000884</v>
      </c>
      <c r="I61" s="32">
        <f>'приложение №2'!H55/'приложение №2'!H54</f>
        <v>0.7230348479929607</v>
      </c>
      <c r="J61" s="32">
        <f>'приложение №2'!I55/'приложение №2'!I54</f>
        <v>1</v>
      </c>
      <c r="K61" s="32">
        <f>'приложение №2'!J55/'приложение №2'!J54</f>
        <v>1</v>
      </c>
      <c r="L61" s="32">
        <f>'приложение №2'!K55/'приложение №2'!K54</f>
        <v>1</v>
      </c>
      <c r="M61" s="32">
        <f>'приложение №2'!L55/'приложение №2'!L54</f>
        <v>1</v>
      </c>
      <c r="N61" s="32">
        <f>'приложение №2'!M55/'приложение №2'!M54</f>
        <v>1</v>
      </c>
      <c r="O61" s="32">
        <f>'приложение №2'!N55/'приложение №2'!N54</f>
        <v>1</v>
      </c>
      <c r="P61" s="32">
        <f>'приложение №2'!O55/'приложение №2'!O54</f>
        <v>1</v>
      </c>
      <c r="Q61" s="32">
        <f>'приложение №2'!P55/'приложение №2'!P54</f>
        <v>1</v>
      </c>
      <c r="R61" s="32">
        <f>'приложение №2'!Q55/'приложение №2'!Q54</f>
        <v>1</v>
      </c>
    </row>
    <row r="62" spans="1:18" ht="90" customHeight="1">
      <c r="A62" s="28" t="s">
        <v>358</v>
      </c>
      <c r="B62" s="28" t="s">
        <v>359</v>
      </c>
      <c r="C62" s="28" t="s">
        <v>206</v>
      </c>
      <c r="D62" s="28" t="s">
        <v>360</v>
      </c>
      <c r="E62" s="32">
        <f>'приложение №2'!D56/'приложение №2'!D54</f>
        <v>0.28074942712312334</v>
      </c>
      <c r="F62" s="32">
        <f>'приложение №2'!E56/'приложение №2'!E54</f>
        <v>0.12646591287070935</v>
      </c>
      <c r="G62" s="32">
        <f>'приложение №2'!F56/'приложение №2'!F54</f>
        <v>0.7875180767127098</v>
      </c>
      <c r="H62" s="32">
        <f>'приложение №2'!G56/'приложение №2'!G54</f>
        <v>0.6009077240437293</v>
      </c>
      <c r="I62" s="32">
        <f>'приложение №2'!H56/'приложение №2'!H54</f>
        <v>0.44320305560083895</v>
      </c>
      <c r="J62" s="32">
        <f>'приложение №2'!I56/'приложение №2'!I54</f>
        <v>1</v>
      </c>
      <c r="K62" s="32">
        <f>'приложение №2'!J56/'приложение №2'!J54</f>
        <v>1</v>
      </c>
      <c r="L62" s="32">
        <f>'приложение №2'!K56/'приложение №2'!K54</f>
        <v>1</v>
      </c>
      <c r="M62" s="32">
        <f>'приложение №2'!L56/'приложение №2'!L54</f>
        <v>1</v>
      </c>
      <c r="N62" s="32">
        <f>'приложение №2'!M56/'приложение №2'!M54</f>
        <v>1</v>
      </c>
      <c r="O62" s="32">
        <f>'приложение №2'!N56/'приложение №2'!N54</f>
        <v>1</v>
      </c>
      <c r="P62" s="32">
        <f>'приложение №2'!O56/'приложение №2'!O54</f>
        <v>1</v>
      </c>
      <c r="Q62" s="32">
        <f>'приложение №2'!P56/'приложение №2'!P54</f>
        <v>1</v>
      </c>
      <c r="R62" s="32">
        <f>'приложение №2'!Q56/'приложение №2'!Q54</f>
        <v>1</v>
      </c>
    </row>
    <row r="63" spans="1:18" ht="84.75" customHeight="1">
      <c r="A63" s="28" t="s">
        <v>361</v>
      </c>
      <c r="B63" s="28" t="s">
        <v>362</v>
      </c>
      <c r="C63" s="28" t="s">
        <v>206</v>
      </c>
      <c r="D63" s="28" t="s">
        <v>363</v>
      </c>
      <c r="E63" s="32">
        <f>'приложение №2'!D58/'приложение №2'!D57</f>
        <v>0.002151485579726171</v>
      </c>
      <c r="F63" s="32">
        <f>'приложение №2'!E58/'приложение №2'!E57</f>
        <v>0.010630953130672468</v>
      </c>
      <c r="G63" s="32">
        <f>'приложение №2'!F58/'приложение №2'!F57</f>
        <v>0.019523155748289205</v>
      </c>
      <c r="H63" s="32">
        <f>'приложение №2'!G58/'приложение №2'!G57</f>
        <v>0.030307007183276374</v>
      </c>
      <c r="I63" s="32">
        <f>'приложение №2'!H58/'приложение №2'!H57</f>
        <v>0.03052582191137834</v>
      </c>
      <c r="J63" s="32">
        <f>'приложение №2'!I58/'приложение №2'!I57</f>
        <v>0.02921590848922503</v>
      </c>
      <c r="K63" s="32">
        <f>'приложение №2'!J58/'приложение №2'!J57</f>
        <v>0.029484186381630587</v>
      </c>
      <c r="L63" s="32">
        <f>'приложение №2'!K58/'приложение №2'!K57</f>
        <v>0.029725917241621706</v>
      </c>
      <c r="M63" s="32">
        <f>'приложение №2'!L58/'приложение №2'!L57</f>
        <v>0.029958713870899042</v>
      </c>
      <c r="N63" s="32">
        <f>'приложение №2'!M58/'приложение №2'!M57</f>
        <v>0.030190571008787817</v>
      </c>
      <c r="O63" s="32">
        <f>'приложение №2'!N58/'приложение №2'!N57</f>
        <v>0.030421481752297152</v>
      </c>
      <c r="P63" s="32">
        <f>'приложение №2'!O58/'приложение №2'!O57</f>
        <v>0.030652309246038657</v>
      </c>
      <c r="Q63" s="32">
        <f>'приложение №2'!P58/'приложение №2'!P57</f>
        <v>0.03088177886371448</v>
      </c>
      <c r="R63" s="32">
        <f>'приложение №2'!Q58/'приложение №2'!Q57</f>
        <v>0.03111076618003988</v>
      </c>
    </row>
    <row r="64" spans="1:18" ht="75" customHeight="1">
      <c r="A64" s="28" t="s">
        <v>364</v>
      </c>
      <c r="B64" s="28" t="s">
        <v>365</v>
      </c>
      <c r="C64" s="28" t="s">
        <v>206</v>
      </c>
      <c r="D64" s="28" t="s">
        <v>512</v>
      </c>
      <c r="E64" s="32">
        <f>'приложение №2'!D60/'приложение №2'!D59</f>
        <v>0.0034797843315688437</v>
      </c>
      <c r="F64" s="32">
        <f>'приложение №2'!E60/'приложение №2'!E59</f>
        <v>0.012748039403350333</v>
      </c>
      <c r="G64" s="32">
        <f>'приложение №2'!F60/'приложение №2'!F59</f>
        <v>0.02646294666005423</v>
      </c>
      <c r="H64" s="32">
        <f>'приложение №2'!G60/'приложение №2'!G59</f>
        <v>0.05167275166019597</v>
      </c>
      <c r="I64" s="32">
        <f>'приложение №2'!H60/'приложение №2'!H59</f>
        <v>0.1522840856365653</v>
      </c>
      <c r="J64" s="32">
        <f>'приложение №2'!I60/'приложение №2'!I59</f>
        <v>0.24574143620206707</v>
      </c>
      <c r="K64" s="32">
        <f>'приложение №2'!J60/'приложение №2'!J59</f>
        <v>0.24781723151058543</v>
      </c>
      <c r="L64" s="32">
        <f>'приложение №2'!K60/'приложение №2'!K59</f>
        <v>0.2462354330683933</v>
      </c>
      <c r="M64" s="32">
        <f>'приложение №2'!L60/'приложение №2'!L59</f>
        <v>0.24709769432819118</v>
      </c>
      <c r="N64" s="32">
        <f>'приложение №2'!M60/'приложение №2'!M59</f>
        <v>0.2479830610516448</v>
      </c>
      <c r="O64" s="32">
        <f>'приложение №2'!N60/'приложение №2'!N59</f>
        <v>0.2479830610516448</v>
      </c>
      <c r="P64" s="32">
        <f>'приложение №2'!O60/'приложение №2'!O59</f>
        <v>0.24979501324974865</v>
      </c>
      <c r="Q64" s="32">
        <f>'приложение №2'!P60/'приложение №2'!P59</f>
        <v>0.25073444826641955</v>
      </c>
      <c r="R64" s="32">
        <f>'приложение №2'!Q60/'приложение №2'!Q59</f>
        <v>0.2516826120197701</v>
      </c>
    </row>
    <row r="65" spans="1:18" ht="87" customHeight="1">
      <c r="A65" s="28" t="s">
        <v>366</v>
      </c>
      <c r="B65" s="28" t="s">
        <v>367</v>
      </c>
      <c r="C65" s="28" t="s">
        <v>206</v>
      </c>
      <c r="D65" s="28" t="s">
        <v>368</v>
      </c>
      <c r="E65" s="32">
        <f>'приложение №2'!D62/'приложение №2'!D61</f>
        <v>0.049154063414201185</v>
      </c>
      <c r="F65" s="32">
        <f>'приложение №2'!E62/'приложение №2'!E61</f>
        <v>0.15404333341954451</v>
      </c>
      <c r="G65" s="32">
        <f>'приложение №2'!F62/'приложение №2'!F61</f>
        <v>0.2252644895071746</v>
      </c>
      <c r="H65" s="32">
        <f>'приложение №2'!G62/'приложение №2'!G61</f>
        <v>0.25919808628456426</v>
      </c>
      <c r="I65" s="33">
        <f>'приложение №2'!H62/'приложение №2'!H61</f>
        <v>0.5596695226438189</v>
      </c>
      <c r="J65" s="62">
        <f>'приложение №2'!I62/'приложение №2'!I61</f>
        <v>0.9951681959490811</v>
      </c>
      <c r="K65" s="62">
        <f>'приложение №2'!J62/'приложение №2'!J61</f>
        <v>0.9951681959490811</v>
      </c>
      <c r="L65" s="62">
        <f>'приложение №2'!K62/'приложение №2'!K61</f>
        <v>0.9951681959490811</v>
      </c>
      <c r="M65" s="62">
        <f>'приложение №2'!L62/'приложение №2'!L61</f>
        <v>0.9951681959490811</v>
      </c>
      <c r="N65" s="62">
        <f>'приложение №2'!M62/'приложение №2'!M61</f>
        <v>0.9951681959490811</v>
      </c>
      <c r="O65" s="62">
        <f>'приложение №2'!N62/'приложение №2'!N61</f>
        <v>0.9951681959490811</v>
      </c>
      <c r="P65" s="62">
        <f>'приложение №2'!O62/'приложение №2'!O61</f>
        <v>0.9951681959490811</v>
      </c>
      <c r="Q65" s="62">
        <f>'приложение №2'!P62/'приложение №2'!P61</f>
        <v>0.9951681959490811</v>
      </c>
      <c r="R65" s="62">
        <f>'приложение №2'!Q62/'приложение №2'!Q61</f>
        <v>0.9951681959490811</v>
      </c>
    </row>
    <row r="66" spans="1:18" ht="82.5" customHeight="1">
      <c r="A66" s="28" t="s">
        <v>369</v>
      </c>
      <c r="B66" s="28" t="s">
        <v>370</v>
      </c>
      <c r="C66" s="28" t="s">
        <v>206</v>
      </c>
      <c r="D66" s="28" t="s">
        <v>371</v>
      </c>
      <c r="E66" s="32">
        <f>'приложение №2'!D64/'приложение №2'!D63</f>
        <v>0</v>
      </c>
      <c r="F66" s="32">
        <f>'приложение №2'!E64/'приложение №2'!E63</f>
        <v>0.08331784196104276</v>
      </c>
      <c r="G66" s="32">
        <f>'приложение №2'!F64/'приложение №2'!F63</f>
        <v>0.088398534251954</v>
      </c>
      <c r="H66" s="32">
        <f>'приложение №2'!G64/'приложение №2'!G63</f>
        <v>0.10232820818110865</v>
      </c>
      <c r="I66" s="32">
        <f>'приложение №2'!H64/'приложение №2'!H63</f>
        <v>0.41116207842287206</v>
      </c>
      <c r="J66" s="32">
        <f>'приложение №2'!I64/'приложение №2'!I63</f>
        <v>1</v>
      </c>
      <c r="K66" s="32">
        <f>'приложение №2'!J64/'приложение №2'!J63</f>
        <v>1</v>
      </c>
      <c r="L66" s="32">
        <f>'приложение №2'!K64/'приложение №2'!K63</f>
        <v>1</v>
      </c>
      <c r="M66" s="32">
        <f>'приложение №2'!L64/'приложение №2'!L63</f>
        <v>1</v>
      </c>
      <c r="N66" s="32">
        <f>'приложение №2'!M64/'приложение №2'!M63</f>
        <v>1</v>
      </c>
      <c r="O66" s="32">
        <f>'приложение №2'!N64/'приложение №2'!N63</f>
        <v>1</v>
      </c>
      <c r="P66" s="32">
        <f>'приложение №2'!O64/'приложение №2'!O63</f>
        <v>1</v>
      </c>
      <c r="Q66" s="32">
        <f>'приложение №2'!P64/'приложение №2'!P63</f>
        <v>1</v>
      </c>
      <c r="R66" s="32">
        <f>'приложение №2'!Q64/'приложение №2'!Q63</f>
        <v>1</v>
      </c>
    </row>
    <row r="67" spans="1:18" ht="102.75" customHeight="1">
      <c r="A67" s="28" t="s">
        <v>372</v>
      </c>
      <c r="B67" s="28" t="s">
        <v>373</v>
      </c>
      <c r="C67" s="28" t="s">
        <v>206</v>
      </c>
      <c r="D67" s="28" t="s">
        <v>374</v>
      </c>
      <c r="E67" s="32">
        <f>'приложение №2'!D65/'приложение №2'!D63</f>
        <v>0.010807043709267463</v>
      </c>
      <c r="F67" s="32">
        <f>'приложение №2'!E65/'приложение №2'!E63</f>
        <v>0.02276987077101083</v>
      </c>
      <c r="G67" s="32">
        <f>'приложение №2'!F65/'приложение №2'!F63</f>
        <v>0.07943700028282882</v>
      </c>
      <c r="H67" s="32">
        <f>'приложение №2'!G65/'приложение №2'!G63</f>
        <v>0.17027414703579863</v>
      </c>
      <c r="I67" s="32">
        <f>'приложение №2'!H65/'приложение №2'!H63</f>
        <v>0.3989415146616074</v>
      </c>
      <c r="J67" s="32">
        <f>'приложение №2'!I65/'приложение №2'!I63</f>
        <v>1</v>
      </c>
      <c r="K67" s="32">
        <f>'приложение №2'!J65/'приложение №2'!J63</f>
        <v>1</v>
      </c>
      <c r="L67" s="32">
        <f>'приложение №2'!K65/'приложение №2'!K63</f>
        <v>1</v>
      </c>
      <c r="M67" s="32">
        <f>'приложение №2'!L65/'приложение №2'!L63</f>
        <v>1</v>
      </c>
      <c r="N67" s="32">
        <f>'приложение №2'!M65/'приложение №2'!M63</f>
        <v>1</v>
      </c>
      <c r="O67" s="32">
        <f>'приложение №2'!N65/'приложение №2'!N63</f>
        <v>1</v>
      </c>
      <c r="P67" s="32">
        <f>'приложение №2'!O65/'приложение №2'!O63</f>
        <v>1</v>
      </c>
      <c r="Q67" s="32">
        <f>'приложение №2'!P65/'приложение №2'!P63</f>
        <v>1</v>
      </c>
      <c r="R67" s="32">
        <f>'приложение №2'!Q65/'приложение №2'!Q63</f>
        <v>1</v>
      </c>
    </row>
    <row r="68" spans="1:18" ht="98.25" customHeight="1">
      <c r="A68" s="28" t="s">
        <v>375</v>
      </c>
      <c r="B68" s="28" t="s">
        <v>376</v>
      </c>
      <c r="C68" s="28" t="s">
        <v>206</v>
      </c>
      <c r="D68" s="59" t="s">
        <v>377</v>
      </c>
      <c r="E68" s="32">
        <f>'приложение №2'!D67/'приложение №2'!D66</f>
        <v>0.9705854172654977</v>
      </c>
      <c r="F68" s="32">
        <f>'приложение №2'!E67/'приложение №2'!E66</f>
        <v>0.9637708120174869</v>
      </c>
      <c r="G68" s="32">
        <f>'приложение №2'!F67/'приложение №2'!F66</f>
        <v>0.9515291753566045</v>
      </c>
      <c r="H68" s="32">
        <f>'приложение №2'!G67/'приложение №2'!G66</f>
        <v>0.9506042252296635</v>
      </c>
      <c r="I68" s="32">
        <f>'приложение №2'!H67/'приложение №2'!H66</f>
        <v>0.9518378744522318</v>
      </c>
      <c r="J68" s="32">
        <f>'приложение №2'!I67/'приложение №2'!I66</f>
        <v>1</v>
      </c>
      <c r="K68" s="32">
        <f>'приложение №2'!J67/'приложение №2'!J66</f>
        <v>1</v>
      </c>
      <c r="L68" s="32">
        <f>'приложение №2'!K67/'приложение №2'!K66</f>
        <v>1</v>
      </c>
      <c r="M68" s="32">
        <f>'приложение №2'!L67/'приложение №2'!L66</f>
        <v>1</v>
      </c>
      <c r="N68" s="32">
        <f>'приложение №2'!M67/'приложение №2'!M66</f>
        <v>1</v>
      </c>
      <c r="O68" s="32">
        <f>'приложение №2'!N67/'приложение №2'!N66</f>
        <v>1</v>
      </c>
      <c r="P68" s="32">
        <f>'приложение №2'!O67/'приложение №2'!O66</f>
        <v>1</v>
      </c>
      <c r="Q68" s="32">
        <f>'приложение №2'!P67/'приложение №2'!P66</f>
        <v>1</v>
      </c>
      <c r="R68" s="32">
        <f>'приложение №2'!Q67/'приложение №2'!Q66</f>
        <v>1.0081645569620252</v>
      </c>
    </row>
    <row r="69" spans="1:18" ht="99" customHeight="1">
      <c r="A69" s="28" t="s">
        <v>378</v>
      </c>
      <c r="B69" s="28" t="s">
        <v>379</v>
      </c>
      <c r="C69" s="28" t="s">
        <v>206</v>
      </c>
      <c r="D69" s="28" t="s">
        <v>380</v>
      </c>
      <c r="E69" s="32">
        <f>'приложение №2'!D69/'приложение №2'!D68</f>
        <v>0.0009789461318575176</v>
      </c>
      <c r="F69" s="32">
        <f>'приложение №2'!E69/'приложение №2'!E68</f>
        <v>0.01204209174221278</v>
      </c>
      <c r="G69" s="32">
        <f>'приложение №2'!F69/'приложение №2'!F68</f>
        <v>0.01430446226178505</v>
      </c>
      <c r="H69" s="32">
        <f>'приложение №2'!G69/'приложение №2'!G68</f>
        <v>0.030718778853192633</v>
      </c>
      <c r="I69" s="32">
        <f>'приложение №2'!H69/'приложение №2'!H68</f>
        <v>0.27100810092696326</v>
      </c>
      <c r="J69" s="32">
        <f>'приложение №2'!I69/'приложение №2'!I68</f>
        <v>1</v>
      </c>
      <c r="K69" s="32">
        <f>'приложение №2'!J69/'приложение №2'!J68</f>
        <v>1</v>
      </c>
      <c r="L69" s="32">
        <f>'приложение №2'!K69/'приложение №2'!K68</f>
        <v>1</v>
      </c>
      <c r="M69" s="32">
        <f>'приложение №2'!L69/'приложение №2'!L68</f>
        <v>1</v>
      </c>
      <c r="N69" s="32">
        <f>'приложение №2'!M69/'приложение №2'!M68</f>
        <v>1</v>
      </c>
      <c r="O69" s="32">
        <f>'приложение №2'!N69/'приложение №2'!N68</f>
        <v>1</v>
      </c>
      <c r="P69" s="32">
        <f>'приложение №2'!O69/'приложение №2'!O68</f>
        <v>1</v>
      </c>
      <c r="Q69" s="32">
        <f>'приложение №2'!P69/'приложение №2'!P68</f>
        <v>1</v>
      </c>
      <c r="R69" s="32">
        <f>'приложение №2'!Q69/'приложение №2'!Q68</f>
        <v>1</v>
      </c>
    </row>
    <row r="70" spans="1:18" ht="25.5">
      <c r="A70" s="28" t="s">
        <v>381</v>
      </c>
      <c r="B70" s="28" t="s">
        <v>382</v>
      </c>
      <c r="C70" s="28" t="s">
        <v>338</v>
      </c>
      <c r="D70" s="28" t="s">
        <v>513</v>
      </c>
      <c r="E70" s="37" t="s">
        <v>270</v>
      </c>
      <c r="F70" s="37" t="s">
        <v>270</v>
      </c>
      <c r="G70" s="37" t="s">
        <v>270</v>
      </c>
      <c r="H70" s="37" t="s">
        <v>270</v>
      </c>
      <c r="I70" s="37" t="s">
        <v>270</v>
      </c>
      <c r="J70" s="37" t="s">
        <v>270</v>
      </c>
      <c r="K70" s="37" t="s">
        <v>270</v>
      </c>
      <c r="L70" s="37" t="s">
        <v>270</v>
      </c>
      <c r="M70" s="37" t="s">
        <v>270</v>
      </c>
      <c r="N70" s="37" t="s">
        <v>270</v>
      </c>
      <c r="O70" s="37" t="s">
        <v>270</v>
      </c>
      <c r="P70" s="37" t="s">
        <v>270</v>
      </c>
      <c r="Q70" s="37" t="s">
        <v>270</v>
      </c>
      <c r="R70" s="37" t="s">
        <v>270</v>
      </c>
    </row>
    <row r="71" spans="1:18" ht="43.5" customHeight="1">
      <c r="A71" s="28" t="s">
        <v>383</v>
      </c>
      <c r="B71" s="28" t="s">
        <v>384</v>
      </c>
      <c r="C71" s="28" t="s">
        <v>206</v>
      </c>
      <c r="D71" s="28" t="s">
        <v>385</v>
      </c>
      <c r="E71" s="32">
        <f>'приложение №2'!D71/'приложение №2'!D70</f>
        <v>0</v>
      </c>
      <c r="F71" s="32">
        <f>'приложение №2'!E71/'приложение №2'!E70</f>
        <v>0</v>
      </c>
      <c r="G71" s="32">
        <f>'приложение №2'!F71/'приложение №2'!F70</f>
        <v>0</v>
      </c>
      <c r="H71" s="32">
        <f>'приложение №2'!G71/'приложение №2'!G70</f>
        <v>0</v>
      </c>
      <c r="I71" s="32">
        <f>'приложение №2'!H71/'приложение №2'!H70</f>
        <v>0</v>
      </c>
      <c r="J71" s="32">
        <f>'приложение №2'!I71/'приложение №2'!I70</f>
        <v>0</v>
      </c>
      <c r="K71" s="32">
        <f>'приложение №2'!J71/'приложение №2'!J70</f>
        <v>0</v>
      </c>
      <c r="L71" s="32">
        <f>'приложение №2'!K71/'приложение №2'!K70</f>
        <v>0</v>
      </c>
      <c r="M71" s="32">
        <f>'приложение №2'!L71/'приложение №2'!L70</f>
        <v>0</v>
      </c>
      <c r="N71" s="32">
        <f>'приложение №2'!M71/'приложение №2'!M70</f>
        <v>0</v>
      </c>
      <c r="O71" s="32">
        <f>'приложение №2'!N71/'приложение №2'!N70</f>
        <v>0</v>
      </c>
      <c r="P71" s="32">
        <f>'приложение №2'!O71/'приложение №2'!O70</f>
        <v>0</v>
      </c>
      <c r="Q71" s="32">
        <f>'приложение №2'!P71/'приложение №2'!P70</f>
        <v>0</v>
      </c>
      <c r="R71" s="32">
        <f>'приложение №2'!Q71/'приложение №2'!Q70</f>
        <v>0</v>
      </c>
    </row>
    <row r="72" spans="1:18" ht="87" customHeight="1">
      <c r="A72" s="28" t="s">
        <v>386</v>
      </c>
      <c r="B72" s="28" t="s">
        <v>387</v>
      </c>
      <c r="C72" s="28" t="s">
        <v>258</v>
      </c>
      <c r="D72" s="28" t="s">
        <v>388</v>
      </c>
      <c r="E72" s="31">
        <f>('приложение №2'!D58+'приложение №2'!D60)/'приложение №2'!D72</f>
        <v>0.3584413793556309</v>
      </c>
      <c r="F72" s="31">
        <f>('приложение №2'!E58+'приложение №2'!E60)/'приложение №2'!E72</f>
        <v>1.3260587008433333</v>
      </c>
      <c r="G72" s="31">
        <f>('приложение №2'!F58+'приложение №2'!F60)/'приложение №2'!F72</f>
        <v>0.2360298980180263</v>
      </c>
      <c r="H72" s="31">
        <f>('приложение №2'!G58+'приложение №2'!G60)/'приложение №2'!G72</f>
        <v>0.2094985150145704</v>
      </c>
      <c r="I72" s="31">
        <f>('приложение №2'!H58+'приложение №2'!H60)/'приложение №2'!H72</f>
        <v>0.3372217622731293</v>
      </c>
      <c r="J72" s="31">
        <f>('приложение №2'!I58+'приложение №2'!I60)/'приложение №2'!I72</f>
        <v>0.37271538610784727</v>
      </c>
      <c r="K72" s="31">
        <f>('приложение №2'!J58+'приложение №2'!J60)/'приложение №2'!J72</f>
        <v>0.3580697168953845</v>
      </c>
      <c r="L72" s="31">
        <f>('приложение №2'!K58+'приложение №2'!K60)/'приложение №2'!K72</f>
        <v>0.33415606982484797</v>
      </c>
      <c r="M72" s="31">
        <f>('приложение №2'!L58+'приложение №2'!L60)/'приложение №2'!L72</f>
        <v>0.3122382974123732</v>
      </c>
      <c r="N72" s="31">
        <f>('приложение №2'!M58+'приложение №2'!M60)/'приложение №2'!M72</f>
        <v>0.28409157952936404</v>
      </c>
      <c r="O72" s="31">
        <f>('приложение №2'!N58+'приложение №2'!N60)/'приложение №2'!N72</f>
        <v>0.2494741330077637</v>
      </c>
      <c r="P72" s="31">
        <f>('приложение №2'!O58+'приложение №2'!O60)/'приложение №2'!O72</f>
        <v>0.21203670520781065</v>
      </c>
      <c r="Q72" s="31">
        <f>('приложение №2'!P58+'приложение №2'!P60)/'приложение №2'!P72</f>
        <v>0.17261123176189141</v>
      </c>
      <c r="R72" s="31">
        <f>('приложение №2'!Q58+'приложение №2'!Q60)/'приложение №2'!Q72</f>
        <v>0.1349912696980955</v>
      </c>
    </row>
    <row r="73" spans="1:18" ht="66.75" customHeight="1">
      <c r="A73" s="28" t="s">
        <v>389</v>
      </c>
      <c r="B73" s="28" t="s">
        <v>390</v>
      </c>
      <c r="C73" s="28" t="s">
        <v>258</v>
      </c>
      <c r="D73" s="28" t="s">
        <v>391</v>
      </c>
      <c r="E73" s="31">
        <f>('приложение №2'!D57-'приложение №2'!D58)/'приложение №2'!D73</f>
        <v>0.5785626689259429</v>
      </c>
      <c r="F73" s="31">
        <f>('приложение №2'!E57-'приложение №2'!E58)/'приложение №2'!E73</f>
        <v>0.5947816838945548</v>
      </c>
      <c r="G73" s="31">
        <f>('приложение №2'!F57-'приложение №2'!F58)/'приложение №2'!F73</f>
        <v>0.520088882942733</v>
      </c>
      <c r="H73" s="31">
        <f>('приложение №2'!G57-'приложение №2'!G58)/'приложение №2'!G73</f>
        <v>0.4942175071108258</v>
      </c>
      <c r="I73" s="31">
        <f>('приложение №2'!H57-'приложение №2'!H58)/'приложение №2'!H73</f>
        <v>0.6917356639847148</v>
      </c>
      <c r="J73" s="31">
        <f>('приложение №2'!I57-'приложение №2'!I58)/'приложение №2'!I73</f>
        <v>0.746687831919871</v>
      </c>
      <c r="K73" s="31">
        <f>('приложение №2'!J57-'приложение №2'!J58)/'приложение №2'!J73</f>
        <v>0.7336523412857522</v>
      </c>
      <c r="L73" s="31">
        <f>('приложение №2'!K57-'приложение №2'!K58)/'приложение №2'!K73</f>
        <v>0.7218048544011497</v>
      </c>
      <c r="M73" s="31">
        <f>('приложение №2'!L57-'приложение №2'!L58)/'приложение №2'!L73</f>
        <v>0.7189016705607958</v>
      </c>
      <c r="N73" s="31">
        <f>('приложение №2'!M57-'приложение №2'!M58)/'приложение №2'!M73</f>
        <v>0.7160494847968323</v>
      </c>
      <c r="O73" s="31">
        <f>('приложение №2'!N57-'приложение №2'!N58)/'приложение №2'!N73</f>
        <v>0.713246371964837</v>
      </c>
      <c r="P73" s="31">
        <f>('приложение №2'!O57-'приложение №2'!O58)/'приложение №2'!O73</f>
        <v>0.7105443409416492</v>
      </c>
      <c r="Q73" s="31">
        <f>('приложение №2'!P57-'приложение №2'!P58)/'приложение №2'!P73</f>
        <v>0.7078602132928575</v>
      </c>
      <c r="R73" s="31">
        <f>('приложение №2'!Q57-'приложение №2'!Q58)/'приложение №2'!Q73</f>
        <v>0.7052459537425969</v>
      </c>
    </row>
    <row r="74" spans="1:18" ht="87" customHeight="1">
      <c r="A74" s="28" t="s">
        <v>392</v>
      </c>
      <c r="B74" s="28" t="s">
        <v>393</v>
      </c>
      <c r="C74" s="28"/>
      <c r="D74" s="28"/>
      <c r="E74" s="28" t="s">
        <v>270</v>
      </c>
      <c r="F74" s="28" t="s">
        <v>270</v>
      </c>
      <c r="G74" s="28" t="s">
        <v>270</v>
      </c>
      <c r="H74" s="28" t="s">
        <v>270</v>
      </c>
      <c r="I74" s="28" t="s">
        <v>270</v>
      </c>
      <c r="J74" s="28" t="s">
        <v>270</v>
      </c>
      <c r="K74" s="28" t="s">
        <v>270</v>
      </c>
      <c r="L74" s="28" t="s">
        <v>270</v>
      </c>
      <c r="M74" s="28" t="s">
        <v>270</v>
      </c>
      <c r="N74" s="28" t="s">
        <v>270</v>
      </c>
      <c r="O74" s="28" t="s">
        <v>270</v>
      </c>
      <c r="P74" s="28" t="s">
        <v>270</v>
      </c>
      <c r="Q74" s="28" t="s">
        <v>270</v>
      </c>
      <c r="R74" s="28" t="s">
        <v>270</v>
      </c>
    </row>
    <row r="75" spans="1:18" ht="12.75">
      <c r="A75" s="28" t="s">
        <v>394</v>
      </c>
      <c r="B75" s="28" t="s">
        <v>317</v>
      </c>
      <c r="C75" s="28" t="s">
        <v>258</v>
      </c>
      <c r="D75" s="28" t="s">
        <v>467</v>
      </c>
      <c r="E75" s="28" t="s">
        <v>270</v>
      </c>
      <c r="F75" s="31">
        <f>F72-E72</f>
        <v>0.9676173214877024</v>
      </c>
      <c r="G75" s="31">
        <f aca="true" t="shared" si="5" ref="G75:R75">G72-F72</f>
        <v>-1.0900288028253071</v>
      </c>
      <c r="H75" s="31">
        <f t="shared" si="5"/>
        <v>-0.026531383003455894</v>
      </c>
      <c r="I75" s="31">
        <f t="shared" si="5"/>
        <v>0.12772324725855888</v>
      </c>
      <c r="J75" s="31">
        <f t="shared" si="5"/>
        <v>0.03549362383471799</v>
      </c>
      <c r="K75" s="31">
        <f t="shared" si="5"/>
        <v>-0.014645669212462742</v>
      </c>
      <c r="L75" s="31">
        <f t="shared" si="5"/>
        <v>-0.02391364707053656</v>
      </c>
      <c r="M75" s="31">
        <f t="shared" si="5"/>
        <v>-0.02191777241247478</v>
      </c>
      <c r="N75" s="31">
        <f t="shared" si="5"/>
        <v>-0.028146717883009154</v>
      </c>
      <c r="O75" s="31">
        <f t="shared" si="5"/>
        <v>-0.03461744652160034</v>
      </c>
      <c r="P75" s="31">
        <f t="shared" si="5"/>
        <v>-0.037437427799953044</v>
      </c>
      <c r="Q75" s="31">
        <f t="shared" si="5"/>
        <v>-0.039425473445919235</v>
      </c>
      <c r="R75" s="31">
        <f t="shared" si="5"/>
        <v>-0.03761996206379592</v>
      </c>
    </row>
    <row r="76" spans="1:18" ht="12.75">
      <c r="A76" s="28" t="s">
        <v>395</v>
      </c>
      <c r="B76" s="28" t="s">
        <v>319</v>
      </c>
      <c r="C76" s="28" t="s">
        <v>258</v>
      </c>
      <c r="D76" s="28" t="s">
        <v>468</v>
      </c>
      <c r="E76" s="28" t="s">
        <v>270</v>
      </c>
      <c r="F76" s="31">
        <f>F72-$E$72</f>
        <v>0.9676173214877024</v>
      </c>
      <c r="G76" s="31">
        <f aca="true" t="shared" si="6" ref="G76:R76">G72-$E$72</f>
        <v>-0.12241148133760463</v>
      </c>
      <c r="H76" s="31">
        <f t="shared" si="6"/>
        <v>-0.14894286434106052</v>
      </c>
      <c r="I76" s="31">
        <f t="shared" si="6"/>
        <v>-0.02121961708250164</v>
      </c>
      <c r="J76" s="31">
        <f t="shared" si="6"/>
        <v>0.01427400675221635</v>
      </c>
      <c r="K76" s="31">
        <f t="shared" si="6"/>
        <v>-0.0003716624602463914</v>
      </c>
      <c r="L76" s="31">
        <f t="shared" si="6"/>
        <v>-0.02428530953078295</v>
      </c>
      <c r="M76" s="31">
        <f t="shared" si="6"/>
        <v>-0.04620308194325773</v>
      </c>
      <c r="N76" s="31">
        <f t="shared" si="6"/>
        <v>-0.07434979982626688</v>
      </c>
      <c r="O76" s="31">
        <f t="shared" si="6"/>
        <v>-0.10896724634786722</v>
      </c>
      <c r="P76" s="31">
        <f t="shared" si="6"/>
        <v>-0.14640467414782027</v>
      </c>
      <c r="Q76" s="31">
        <f t="shared" si="6"/>
        <v>-0.1858301475937395</v>
      </c>
      <c r="R76" s="31">
        <f t="shared" si="6"/>
        <v>-0.22345010965753542</v>
      </c>
    </row>
    <row r="77" spans="1:18" ht="63.75">
      <c r="A77" s="28" t="s">
        <v>396</v>
      </c>
      <c r="B77" s="28" t="s">
        <v>397</v>
      </c>
      <c r="C77" s="28"/>
      <c r="D77" s="28"/>
      <c r="E77" s="28" t="s">
        <v>270</v>
      </c>
      <c r="F77" s="56" t="s">
        <v>270</v>
      </c>
      <c r="G77" s="56" t="s">
        <v>270</v>
      </c>
      <c r="H77" s="56" t="s">
        <v>270</v>
      </c>
      <c r="I77" s="56" t="s">
        <v>270</v>
      </c>
      <c r="J77" s="56" t="s">
        <v>270</v>
      </c>
      <c r="K77" s="56" t="s">
        <v>270</v>
      </c>
      <c r="L77" s="56" t="s">
        <v>270</v>
      </c>
      <c r="M77" s="56" t="s">
        <v>270</v>
      </c>
      <c r="N77" s="56" t="s">
        <v>270</v>
      </c>
      <c r="O77" s="56" t="s">
        <v>270</v>
      </c>
      <c r="P77" s="56" t="s">
        <v>270</v>
      </c>
      <c r="Q77" s="56" t="s">
        <v>270</v>
      </c>
      <c r="R77" s="56" t="s">
        <v>270</v>
      </c>
    </row>
    <row r="78" spans="1:18" ht="12.75">
      <c r="A78" s="28" t="s">
        <v>398</v>
      </c>
      <c r="B78" s="28" t="s">
        <v>317</v>
      </c>
      <c r="C78" s="28" t="s">
        <v>258</v>
      </c>
      <c r="D78" s="28" t="s">
        <v>469</v>
      </c>
      <c r="E78" s="28" t="s">
        <v>270</v>
      </c>
      <c r="F78" s="31">
        <f>F73-E73</f>
        <v>0.01621901496861189</v>
      </c>
      <c r="G78" s="31">
        <f aca="true" t="shared" si="7" ref="G78:R78">G73-F73</f>
        <v>-0.07469280095182174</v>
      </c>
      <c r="H78" s="31">
        <f t="shared" si="7"/>
        <v>-0.02587137583190724</v>
      </c>
      <c r="I78" s="31">
        <f t="shared" si="7"/>
        <v>0.19751815687388896</v>
      </c>
      <c r="J78" s="31">
        <f t="shared" si="7"/>
        <v>0.054952167935156226</v>
      </c>
      <c r="K78" s="31">
        <f t="shared" si="7"/>
        <v>-0.013035490634118796</v>
      </c>
      <c r="L78" s="31">
        <f t="shared" si="7"/>
        <v>-0.011847486884602465</v>
      </c>
      <c r="M78" s="31">
        <f t="shared" si="7"/>
        <v>-0.002903183840353929</v>
      </c>
      <c r="N78" s="31">
        <f t="shared" si="7"/>
        <v>-0.0028521857639635106</v>
      </c>
      <c r="O78" s="31">
        <f t="shared" si="7"/>
        <v>-0.0028031128319953025</v>
      </c>
      <c r="P78" s="31">
        <f t="shared" si="7"/>
        <v>-0.0027020310231877787</v>
      </c>
      <c r="Q78" s="31">
        <f t="shared" si="7"/>
        <v>-0.0026841276487916677</v>
      </c>
      <c r="R78" s="31">
        <f t="shared" si="7"/>
        <v>-0.0026142595502606225</v>
      </c>
    </row>
    <row r="79" spans="1:18" ht="12.75">
      <c r="A79" s="28" t="s">
        <v>399</v>
      </c>
      <c r="B79" s="28" t="s">
        <v>319</v>
      </c>
      <c r="C79" s="28" t="s">
        <v>258</v>
      </c>
      <c r="D79" s="28" t="s">
        <v>470</v>
      </c>
      <c r="E79" s="28" t="s">
        <v>270</v>
      </c>
      <c r="F79" s="31">
        <f>F73-$E$73</f>
        <v>0.01621901496861189</v>
      </c>
      <c r="G79" s="31">
        <f aca="true" t="shared" si="8" ref="G79:R79">G73-$E$73</f>
        <v>-0.05847378598320985</v>
      </c>
      <c r="H79" s="31">
        <f t="shared" si="8"/>
        <v>-0.08434516181511709</v>
      </c>
      <c r="I79" s="31">
        <f t="shared" si="8"/>
        <v>0.11317299505877187</v>
      </c>
      <c r="J79" s="31">
        <f t="shared" si="8"/>
        <v>0.1681251629939281</v>
      </c>
      <c r="K79" s="31">
        <f t="shared" si="8"/>
        <v>0.1550896723598093</v>
      </c>
      <c r="L79" s="31">
        <f t="shared" si="8"/>
        <v>0.14324218547520684</v>
      </c>
      <c r="M79" s="31">
        <f t="shared" si="8"/>
        <v>0.1403390016348529</v>
      </c>
      <c r="N79" s="31">
        <f t="shared" si="8"/>
        <v>0.1374868158708894</v>
      </c>
      <c r="O79" s="31">
        <f t="shared" si="8"/>
        <v>0.1346837030388941</v>
      </c>
      <c r="P79" s="31">
        <f t="shared" si="8"/>
        <v>0.13198167201570632</v>
      </c>
      <c r="Q79" s="31">
        <f t="shared" si="8"/>
        <v>0.12929754436691465</v>
      </c>
      <c r="R79" s="31">
        <f t="shared" si="8"/>
        <v>0.12668328481665403</v>
      </c>
    </row>
    <row r="80" spans="1:18" ht="89.25">
      <c r="A80" s="28" t="s">
        <v>400</v>
      </c>
      <c r="B80" s="28" t="s">
        <v>401</v>
      </c>
      <c r="C80" s="28"/>
      <c r="D80" s="28"/>
      <c r="E80" s="28" t="s">
        <v>270</v>
      </c>
      <c r="F80" s="28" t="s">
        <v>270</v>
      </c>
      <c r="G80" s="28" t="s">
        <v>270</v>
      </c>
      <c r="H80" s="28" t="s">
        <v>270</v>
      </c>
      <c r="I80" s="28" t="s">
        <v>270</v>
      </c>
      <c r="J80" s="28" t="s">
        <v>270</v>
      </c>
      <c r="K80" s="28" t="s">
        <v>270</v>
      </c>
      <c r="L80" s="28" t="s">
        <v>270</v>
      </c>
      <c r="M80" s="28" t="s">
        <v>270</v>
      </c>
      <c r="N80" s="28" t="s">
        <v>270</v>
      </c>
      <c r="O80" s="28" t="s">
        <v>270</v>
      </c>
      <c r="P80" s="28" t="s">
        <v>270</v>
      </c>
      <c r="Q80" s="28" t="s">
        <v>270</v>
      </c>
      <c r="R80" s="28" t="s">
        <v>270</v>
      </c>
    </row>
    <row r="81" spans="1:18" ht="18" customHeight="1">
      <c r="A81" s="28" t="s">
        <v>402</v>
      </c>
      <c r="B81" s="28" t="s">
        <v>317</v>
      </c>
      <c r="C81" s="28" t="s">
        <v>270</v>
      </c>
      <c r="D81" s="28" t="s">
        <v>403</v>
      </c>
      <c r="E81" s="31">
        <f>E73/E72</f>
        <v>1.614106803087365</v>
      </c>
      <c r="F81" s="31">
        <f aca="true" t="shared" si="9" ref="F81:R81">F73/F72</f>
        <v>0.4485334499266824</v>
      </c>
      <c r="G81" s="31">
        <f t="shared" si="9"/>
        <v>2.203487301015621</v>
      </c>
      <c r="H81" s="31">
        <f t="shared" si="9"/>
        <v>2.3590501683339067</v>
      </c>
      <c r="I81" s="31">
        <f t="shared" si="9"/>
        <v>2.0512782429042957</v>
      </c>
      <c r="J81" s="31">
        <f t="shared" si="9"/>
        <v>2.003372706765083</v>
      </c>
      <c r="K81" s="31">
        <f t="shared" si="9"/>
        <v>2.0489092114430325</v>
      </c>
      <c r="L81" s="31">
        <f t="shared" si="9"/>
        <v>2.1600830258133352</v>
      </c>
      <c r="M81" s="31">
        <f t="shared" si="9"/>
        <v>2.302413498019246</v>
      </c>
      <c r="N81" s="31">
        <f t="shared" si="9"/>
        <v>2.520488238275364</v>
      </c>
      <c r="O81" s="31">
        <f t="shared" si="9"/>
        <v>2.8589993013128963</v>
      </c>
      <c r="P81" s="31">
        <f t="shared" si="9"/>
        <v>3.3510440574204665</v>
      </c>
      <c r="Q81" s="31">
        <f t="shared" si="9"/>
        <v>4.100893123046103</v>
      </c>
      <c r="R81" s="31">
        <f t="shared" si="9"/>
        <v>5.224381956846997</v>
      </c>
    </row>
    <row r="82" spans="1:18" ht="18" customHeight="1">
      <c r="A82" s="28" t="s">
        <v>404</v>
      </c>
      <c r="B82" s="28" t="s">
        <v>319</v>
      </c>
      <c r="C82" s="28" t="s">
        <v>270</v>
      </c>
      <c r="D82" s="28" t="s">
        <v>405</v>
      </c>
      <c r="E82" s="31">
        <f>E73/$E$72</f>
        <v>1.614106803087365</v>
      </c>
      <c r="F82" s="31">
        <f aca="true" t="shared" si="10" ref="F82:R82">F73/$E$72</f>
        <v>1.6593555268752513</v>
      </c>
      <c r="G82" s="31">
        <f t="shared" si="10"/>
        <v>1.450973333150585</v>
      </c>
      <c r="H82" s="31">
        <f t="shared" si="10"/>
        <v>1.3787959079927636</v>
      </c>
      <c r="I82" s="31">
        <f t="shared" si="10"/>
        <v>1.9298432151674174</v>
      </c>
      <c r="J82" s="31">
        <f t="shared" si="10"/>
        <v>2.083151876220847</v>
      </c>
      <c r="K82" s="31">
        <f t="shared" si="10"/>
        <v>2.046784728383305</v>
      </c>
      <c r="L82" s="31">
        <f t="shared" si="10"/>
        <v>2.0137319404883898</v>
      </c>
      <c r="M82" s="31">
        <f t="shared" si="10"/>
        <v>2.0056324742783977</v>
      </c>
      <c r="N82" s="31">
        <f t="shared" si="10"/>
        <v>1.9976752853815942</v>
      </c>
      <c r="O82" s="31">
        <f t="shared" si="10"/>
        <v>1.9898550029213649</v>
      </c>
      <c r="P82" s="31">
        <f t="shared" si="10"/>
        <v>1.9823167241990665</v>
      </c>
      <c r="Q82" s="31">
        <f t="shared" si="10"/>
        <v>1.9748283933215967</v>
      </c>
      <c r="R82" s="31">
        <f t="shared" si="10"/>
        <v>1.9675349844106047</v>
      </c>
    </row>
    <row r="83" spans="1:18" ht="90.75" customHeight="1">
      <c r="A83" s="28" t="s">
        <v>406</v>
      </c>
      <c r="B83" s="28" t="s">
        <v>407</v>
      </c>
      <c r="C83" s="28" t="s">
        <v>408</v>
      </c>
      <c r="D83" s="28" t="s">
        <v>409</v>
      </c>
      <c r="E83" s="31">
        <f>('приложение №2'!D62+'приложение №2'!D64)/'приложение №2'!D74</f>
        <v>1.549899060517941</v>
      </c>
      <c r="F83" s="31">
        <f>('приложение №2'!E62+'приложение №2'!E64)/'приложение №2'!E74</f>
        <v>4.321392999251494</v>
      </c>
      <c r="G83" s="31">
        <f>('приложение №2'!F62+'приложение №2'!F64)/'приложение №2'!F74</f>
        <v>0.8065394295799794</v>
      </c>
      <c r="H83" s="31">
        <f>('приложение №2'!G62+'приложение №2'!G64)/'приложение №2'!G74</f>
        <v>0.6711490032648855</v>
      </c>
      <c r="I83" s="31">
        <f>('приложение №2'!H62+'приложение №2'!H64)/'приложение №2'!H74</f>
        <v>0.9128254940584983</v>
      </c>
      <c r="J83" s="31">
        <f>('приложение №2'!I61+'приложение №2'!I64)/'приложение №2'!I74</f>
        <v>2.0331880109801723</v>
      </c>
      <c r="K83" s="31">
        <f>('приложение №2'!J61+'приложение №2'!J64)/'приложение №2'!J74</f>
        <v>2.029888129123472</v>
      </c>
      <c r="L83" s="31">
        <f>('приложение №2'!K61+'приложение №2'!K64)/'приложение №2'!K74</f>
        <v>2.026598941384136</v>
      </c>
      <c r="M83" s="31">
        <f>('приложение №2'!L61+'приложение №2'!L64)/'приложение №2'!L74</f>
        <v>2.0233203958606993</v>
      </c>
      <c r="N83" s="31">
        <f>('приложение №2'!M61+'приложение №2'!M64)/'приложение №2'!M74</f>
        <v>2.020052440987013</v>
      </c>
      <c r="O83" s="31">
        <f>('приложение №2'!N61+'приложение №2'!N64)/'приложение №2'!N74</f>
        <v>2.016795025529535</v>
      </c>
      <c r="P83" s="31">
        <f>('приложение №2'!O61+'приложение №2'!O64)/'приложение №2'!O74</f>
        <v>2.0135480985846588</v>
      </c>
      <c r="Q83" s="31">
        <f>('приложение №2'!P61+'приложение №2'!P64)/'приложение №2'!P74</f>
        <v>2.0103116095760565</v>
      </c>
      <c r="R83" s="31">
        <f>('приложение №2'!Q61+'приложение №2'!Q64)/'приложение №2'!Q74</f>
        <v>2.0070855082520556</v>
      </c>
    </row>
    <row r="84" spans="1:18" ht="64.5" customHeight="1">
      <c r="A84" s="28" t="s">
        <v>410</v>
      </c>
      <c r="B84" s="28" t="s">
        <v>411</v>
      </c>
      <c r="C84" s="28" t="s">
        <v>408</v>
      </c>
      <c r="D84" s="28" t="s">
        <v>514</v>
      </c>
      <c r="E84" s="31">
        <f>('приложение №2'!D61-'приложение №2'!D62)/'приложение №2'!D75</f>
        <v>15.208243980430824</v>
      </c>
      <c r="F84" s="31">
        <f>('приложение №2'!E61-'приложение №2'!E62)/'приложение №2'!E75</f>
        <v>12.553740802856042</v>
      </c>
      <c r="G84" s="31">
        <f>('приложение №2'!F61-'приложение №2'!F62)/'приложение №2'!F75</f>
        <v>2.246224207302019</v>
      </c>
      <c r="H84" s="31">
        <f>('приложение №2'!G61-'приложение №2'!G62)/'приложение №2'!G75</f>
        <v>2.3512058701542933</v>
      </c>
      <c r="I84" s="31" t="s">
        <v>270</v>
      </c>
      <c r="J84" s="31" t="s">
        <v>270</v>
      </c>
      <c r="K84" s="31" t="s">
        <v>270</v>
      </c>
      <c r="L84" s="31" t="s">
        <v>270</v>
      </c>
      <c r="M84" s="31" t="s">
        <v>270</v>
      </c>
      <c r="N84" s="31" t="s">
        <v>270</v>
      </c>
      <c r="O84" s="31" t="s">
        <v>270</v>
      </c>
      <c r="P84" s="31" t="s">
        <v>270</v>
      </c>
      <c r="Q84" s="31" t="s">
        <v>270</v>
      </c>
      <c r="R84" s="31" t="s">
        <v>270</v>
      </c>
    </row>
    <row r="85" spans="1:18" ht="89.25">
      <c r="A85" s="28" t="s">
        <v>412</v>
      </c>
      <c r="B85" s="28" t="s">
        <v>413</v>
      </c>
      <c r="C85" s="28"/>
      <c r="D85" s="28"/>
      <c r="E85" s="28" t="s">
        <v>270</v>
      </c>
      <c r="F85" s="28" t="s">
        <v>270</v>
      </c>
      <c r="G85" s="28" t="s">
        <v>270</v>
      </c>
      <c r="H85" s="28" t="s">
        <v>270</v>
      </c>
      <c r="I85" s="28" t="s">
        <v>270</v>
      </c>
      <c r="J85" s="28" t="s">
        <v>270</v>
      </c>
      <c r="K85" s="28" t="s">
        <v>270</v>
      </c>
      <c r="L85" s="28" t="s">
        <v>270</v>
      </c>
      <c r="M85" s="28" t="s">
        <v>270</v>
      </c>
      <c r="N85" s="28" t="s">
        <v>270</v>
      </c>
      <c r="O85" s="28" t="s">
        <v>270</v>
      </c>
      <c r="P85" s="28" t="s">
        <v>270</v>
      </c>
      <c r="Q85" s="28" t="s">
        <v>270</v>
      </c>
      <c r="R85" s="28" t="s">
        <v>270</v>
      </c>
    </row>
    <row r="86" spans="1:18" ht="25.5">
      <c r="A86" s="28" t="s">
        <v>414</v>
      </c>
      <c r="B86" s="28" t="s">
        <v>317</v>
      </c>
      <c r="C86" s="28" t="s">
        <v>408</v>
      </c>
      <c r="D86" s="28" t="s">
        <v>471</v>
      </c>
      <c r="E86" s="28" t="s">
        <v>270</v>
      </c>
      <c r="F86" s="31">
        <f>F83-E83</f>
        <v>2.7714939387335535</v>
      </c>
      <c r="G86" s="31">
        <f aca="true" t="shared" si="11" ref="G86:R86">G83-F83</f>
        <v>-3.514853569671515</v>
      </c>
      <c r="H86" s="31">
        <f t="shared" si="11"/>
        <v>-0.1353904263150939</v>
      </c>
      <c r="I86" s="31">
        <f t="shared" si="11"/>
        <v>0.24167649079361286</v>
      </c>
      <c r="J86" s="31">
        <f t="shared" si="11"/>
        <v>1.120362516921674</v>
      </c>
      <c r="K86" s="31">
        <f t="shared" si="11"/>
        <v>-0.003299881856700271</v>
      </c>
      <c r="L86" s="31">
        <f t="shared" si="11"/>
        <v>-0.0032891877393361746</v>
      </c>
      <c r="M86" s="31">
        <f t="shared" si="11"/>
        <v>-0.003278545523436538</v>
      </c>
      <c r="N86" s="31">
        <f t="shared" si="11"/>
        <v>-0.003267954873686474</v>
      </c>
      <c r="O86" s="31">
        <f t="shared" si="11"/>
        <v>-0.003257415457477819</v>
      </c>
      <c r="P86" s="31">
        <f t="shared" si="11"/>
        <v>-0.0032469269448762716</v>
      </c>
      <c r="Q86" s="31">
        <f t="shared" si="11"/>
        <v>-0.0032364890086022946</v>
      </c>
      <c r="R86" s="31">
        <f t="shared" si="11"/>
        <v>-0.0032261013240009184</v>
      </c>
    </row>
    <row r="87" spans="1:18" ht="25.5">
      <c r="A87" s="28" t="s">
        <v>415</v>
      </c>
      <c r="B87" s="28" t="s">
        <v>319</v>
      </c>
      <c r="C87" s="28" t="s">
        <v>408</v>
      </c>
      <c r="D87" s="28" t="s">
        <v>472</v>
      </c>
      <c r="E87" s="28" t="s">
        <v>270</v>
      </c>
      <c r="F87" s="31">
        <f>F83-$E$83</f>
        <v>2.7714939387335535</v>
      </c>
      <c r="G87" s="31">
        <f aca="true" t="shared" si="12" ref="G87:R87">G83-$E$83</f>
        <v>-0.7433596309379616</v>
      </c>
      <c r="H87" s="31">
        <f t="shared" si="12"/>
        <v>-0.8787500572530555</v>
      </c>
      <c r="I87" s="31">
        <f t="shared" si="12"/>
        <v>-0.6370735664594427</v>
      </c>
      <c r="J87" s="31">
        <f t="shared" si="12"/>
        <v>0.4832889504622313</v>
      </c>
      <c r="K87" s="31">
        <f t="shared" si="12"/>
        <v>0.47998906860553103</v>
      </c>
      <c r="L87" s="31">
        <f t="shared" si="12"/>
        <v>0.47669988086619486</v>
      </c>
      <c r="M87" s="31">
        <f t="shared" si="12"/>
        <v>0.4734213353427583</v>
      </c>
      <c r="N87" s="31">
        <f t="shared" si="12"/>
        <v>0.47015338046907185</v>
      </c>
      <c r="O87" s="31">
        <f t="shared" si="12"/>
        <v>0.466895965011594</v>
      </c>
      <c r="P87" s="31">
        <f t="shared" si="12"/>
        <v>0.46364903806671776</v>
      </c>
      <c r="Q87" s="31">
        <f t="shared" si="12"/>
        <v>0.46041254905811546</v>
      </c>
      <c r="R87" s="31">
        <f t="shared" si="12"/>
        <v>0.45718644773411454</v>
      </c>
    </row>
    <row r="88" spans="1:18" ht="90.75" customHeight="1">
      <c r="A88" s="28" t="s">
        <v>416</v>
      </c>
      <c r="B88" s="28" t="s">
        <v>417</v>
      </c>
      <c r="C88" s="28"/>
      <c r="D88" s="28"/>
      <c r="E88" s="28" t="s">
        <v>270</v>
      </c>
      <c r="F88" s="28" t="s">
        <v>270</v>
      </c>
      <c r="G88" s="28" t="s">
        <v>270</v>
      </c>
      <c r="H88" s="28" t="s">
        <v>270</v>
      </c>
      <c r="I88" s="28" t="s">
        <v>270</v>
      </c>
      <c r="J88" s="28" t="s">
        <v>270</v>
      </c>
      <c r="K88" s="28" t="s">
        <v>270</v>
      </c>
      <c r="L88" s="28" t="s">
        <v>270</v>
      </c>
      <c r="M88" s="28" t="s">
        <v>270</v>
      </c>
      <c r="N88" s="28" t="s">
        <v>270</v>
      </c>
      <c r="O88" s="28" t="s">
        <v>270</v>
      </c>
      <c r="P88" s="28" t="s">
        <v>270</v>
      </c>
      <c r="Q88" s="28" t="s">
        <v>270</v>
      </c>
      <c r="R88" s="28" t="s">
        <v>270</v>
      </c>
    </row>
    <row r="89" spans="1:18" ht="25.5">
      <c r="A89" s="28" t="s">
        <v>418</v>
      </c>
      <c r="B89" s="28" t="s">
        <v>317</v>
      </c>
      <c r="C89" s="28" t="s">
        <v>408</v>
      </c>
      <c r="D89" s="28" t="s">
        <v>473</v>
      </c>
      <c r="E89" s="28" t="s">
        <v>270</v>
      </c>
      <c r="F89" s="31">
        <f>F84-E84</f>
        <v>-2.6545031775747816</v>
      </c>
      <c r="G89" s="31">
        <f>G84-F84</f>
        <v>-10.307516595554024</v>
      </c>
      <c r="H89" s="31">
        <f>H84-G84</f>
        <v>0.1049816628522744</v>
      </c>
      <c r="I89" s="28" t="s">
        <v>270</v>
      </c>
      <c r="J89" s="28" t="s">
        <v>270</v>
      </c>
      <c r="K89" s="28" t="s">
        <v>270</v>
      </c>
      <c r="L89" s="28" t="s">
        <v>270</v>
      </c>
      <c r="M89" s="28" t="s">
        <v>270</v>
      </c>
      <c r="N89" s="28" t="s">
        <v>270</v>
      </c>
      <c r="O89" s="28" t="s">
        <v>270</v>
      </c>
      <c r="P89" s="28" t="s">
        <v>270</v>
      </c>
      <c r="Q89" s="28" t="s">
        <v>270</v>
      </c>
      <c r="R89" s="28" t="s">
        <v>270</v>
      </c>
    </row>
    <row r="90" spans="1:18" ht="25.5">
      <c r="A90" s="28" t="s">
        <v>419</v>
      </c>
      <c r="B90" s="28" t="s">
        <v>319</v>
      </c>
      <c r="C90" s="28" t="s">
        <v>408</v>
      </c>
      <c r="D90" s="28" t="s">
        <v>474</v>
      </c>
      <c r="E90" s="28" t="s">
        <v>270</v>
      </c>
      <c r="F90" s="31">
        <f>F84-$E$84</f>
        <v>-2.6545031775747816</v>
      </c>
      <c r="G90" s="31">
        <f>G84-$E$84</f>
        <v>-12.962019773128805</v>
      </c>
      <c r="H90" s="31">
        <f>H84-$E$84</f>
        <v>-12.85703811027653</v>
      </c>
      <c r="I90" s="28" t="s">
        <v>270</v>
      </c>
      <c r="J90" s="28" t="s">
        <v>270</v>
      </c>
      <c r="K90" s="28" t="s">
        <v>270</v>
      </c>
      <c r="L90" s="28" t="s">
        <v>270</v>
      </c>
      <c r="M90" s="28" t="s">
        <v>270</v>
      </c>
      <c r="N90" s="28" t="s">
        <v>270</v>
      </c>
      <c r="O90" s="28" t="s">
        <v>270</v>
      </c>
      <c r="P90" s="28" t="s">
        <v>270</v>
      </c>
      <c r="Q90" s="28" t="s">
        <v>270</v>
      </c>
      <c r="R90" s="28" t="s">
        <v>270</v>
      </c>
    </row>
    <row r="91" spans="1:18" ht="99" customHeight="1">
      <c r="A91" s="28" t="s">
        <v>420</v>
      </c>
      <c r="B91" s="28" t="s">
        <v>421</v>
      </c>
      <c r="C91" s="28"/>
      <c r="D91" s="28"/>
      <c r="E91" s="28" t="s">
        <v>270</v>
      </c>
      <c r="F91" s="28" t="s">
        <v>270</v>
      </c>
      <c r="G91" s="28" t="s">
        <v>270</v>
      </c>
      <c r="H91" s="28" t="s">
        <v>270</v>
      </c>
      <c r="I91" s="28" t="s">
        <v>270</v>
      </c>
      <c r="J91" s="28" t="s">
        <v>270</v>
      </c>
      <c r="K91" s="28" t="s">
        <v>270</v>
      </c>
      <c r="L91" s="28" t="s">
        <v>270</v>
      </c>
      <c r="M91" s="28" t="s">
        <v>270</v>
      </c>
      <c r="N91" s="28" t="s">
        <v>270</v>
      </c>
      <c r="O91" s="28" t="s">
        <v>270</v>
      </c>
      <c r="P91" s="28" t="s">
        <v>270</v>
      </c>
      <c r="Q91" s="28" t="s">
        <v>270</v>
      </c>
      <c r="R91" s="28" t="s">
        <v>270</v>
      </c>
    </row>
    <row r="92" spans="1:18" ht="18" customHeight="1">
      <c r="A92" s="28" t="s">
        <v>422</v>
      </c>
      <c r="B92" s="28" t="s">
        <v>317</v>
      </c>
      <c r="C92" s="28" t="s">
        <v>270</v>
      </c>
      <c r="D92" s="28" t="s">
        <v>423</v>
      </c>
      <c r="E92" s="31">
        <f>E84/E83</f>
        <v>9.812409316093511</v>
      </c>
      <c r="F92" s="31">
        <f>F84/F83</f>
        <v>2.9050217846491786</v>
      </c>
      <c r="G92" s="31">
        <f>G84/G83</f>
        <v>2.785014749336908</v>
      </c>
      <c r="H92" s="31">
        <f>H84/H83</f>
        <v>3.503254655399275</v>
      </c>
      <c r="I92" s="28" t="s">
        <v>270</v>
      </c>
      <c r="J92" s="28" t="s">
        <v>270</v>
      </c>
      <c r="K92" s="28" t="s">
        <v>270</v>
      </c>
      <c r="L92" s="28" t="s">
        <v>270</v>
      </c>
      <c r="M92" s="28" t="s">
        <v>270</v>
      </c>
      <c r="N92" s="28" t="s">
        <v>270</v>
      </c>
      <c r="O92" s="28" t="s">
        <v>270</v>
      </c>
      <c r="P92" s="28" t="s">
        <v>270</v>
      </c>
      <c r="Q92" s="28" t="s">
        <v>270</v>
      </c>
      <c r="R92" s="28" t="s">
        <v>270</v>
      </c>
    </row>
    <row r="93" spans="1:18" ht="20.25" customHeight="1">
      <c r="A93" s="28" t="s">
        <v>424</v>
      </c>
      <c r="B93" s="28" t="s">
        <v>319</v>
      </c>
      <c r="C93" s="28" t="s">
        <v>270</v>
      </c>
      <c r="D93" s="28" t="s">
        <v>425</v>
      </c>
      <c r="E93" s="31">
        <f>E84/$E$83</f>
        <v>9.812409316093511</v>
      </c>
      <c r="F93" s="31">
        <f>F84/$E$83</f>
        <v>8.099715086388185</v>
      </c>
      <c r="G93" s="31">
        <f>G84/$E$83</f>
        <v>1.449271287738817</v>
      </c>
      <c r="H93" s="31">
        <f>H84/$E$83</f>
        <v>1.5170058038286531</v>
      </c>
      <c r="I93" s="28" t="s">
        <v>270</v>
      </c>
      <c r="J93" s="28" t="s">
        <v>270</v>
      </c>
      <c r="K93" s="28" t="s">
        <v>270</v>
      </c>
      <c r="L93" s="28" t="s">
        <v>270</v>
      </c>
      <c r="M93" s="28" t="s">
        <v>270</v>
      </c>
      <c r="N93" s="28" t="s">
        <v>270</v>
      </c>
      <c r="O93" s="28" t="s">
        <v>270</v>
      </c>
      <c r="P93" s="28" t="s">
        <v>270</v>
      </c>
      <c r="Q93" s="28" t="s">
        <v>270</v>
      </c>
      <c r="R93" s="28" t="s">
        <v>270</v>
      </c>
    </row>
    <row r="94" spans="1:18" ht="88.5" customHeight="1">
      <c r="A94" s="28" t="s">
        <v>426</v>
      </c>
      <c r="B94" s="28" t="s">
        <v>427</v>
      </c>
      <c r="C94" s="28" t="s">
        <v>428</v>
      </c>
      <c r="D94" s="28" t="s">
        <v>515</v>
      </c>
      <c r="E94" s="31">
        <f>('приложение №2'!D53+'приложение №2'!D55)/'приложение №2'!D76</f>
        <v>92.11252752768675</v>
      </c>
      <c r="F94" s="31">
        <f>('приложение №2'!E53+'приложение №2'!E55)/'приложение №2'!E76</f>
        <v>70.92225773825253</v>
      </c>
      <c r="G94" s="31">
        <f>('приложение №2'!F53+'приложение №2'!F55)/'приложение №2'!F76</f>
        <v>31.076580681584947</v>
      </c>
      <c r="H94" s="31">
        <f>('приложение №2'!G53+'приложение №2'!G55)/'приложение №2'!G76</f>
        <v>57.95977733947646</v>
      </c>
      <c r="I94" s="31">
        <f>('приложение №2'!H53+'приложение №2'!H55)/'приложение №2'!H76</f>
        <v>38.27554397060738</v>
      </c>
      <c r="J94" s="31">
        <f>('приложение №2'!I53+'приложение №2'!I55)/'приложение №2'!I76</f>
        <v>49.83775593971933</v>
      </c>
      <c r="K94" s="31">
        <f>('приложение №2'!J53+'приложение №2'!J55)/'приложение №2'!J76</f>
        <v>49.07960607149777</v>
      </c>
      <c r="L94" s="31">
        <f>('приложение №2'!K53+'приложение №2'!K55)/'приложение №2'!K76</f>
        <v>48.39826895846439</v>
      </c>
      <c r="M94" s="31">
        <f>('приложение №2'!L53+'приложение №2'!L55)/'приложение №2'!L76</f>
        <v>48.32085211198652</v>
      </c>
      <c r="N94" s="31">
        <f>('приложение №2'!M53+'приложение №2'!M55)/'приложение №2'!M76</f>
        <v>48.2436825386733</v>
      </c>
      <c r="O94" s="31">
        <f>('приложение №2'!N53+'приложение №2'!N55)/'приложение №2'!N76</f>
        <v>48.16675905570996</v>
      </c>
      <c r="P94" s="31">
        <f>('приложение №2'!O53+'приложение №2'!O55)/'приложение №2'!O76</f>
        <v>48.09008048781366</v>
      </c>
      <c r="Q94" s="31">
        <f>('приложение №2'!P53+'приложение №2'!P55)/'приложение №2'!P76</f>
        <v>48.01364566717353</v>
      </c>
      <c r="R94" s="31">
        <f>('приложение №2'!Q53+'приложение №2'!Q55)/'приложение №2'!Q76</f>
        <v>47.93745343339146</v>
      </c>
    </row>
    <row r="95" spans="1:18" ht="66" customHeight="1">
      <c r="A95" s="28" t="s">
        <v>429</v>
      </c>
      <c r="B95" s="28" t="s">
        <v>430</v>
      </c>
      <c r="C95" s="28" t="s">
        <v>428</v>
      </c>
      <c r="D95" s="28" t="s">
        <v>431</v>
      </c>
      <c r="E95" s="31">
        <f>('приложение №2'!D52-'приложение №2'!D53)/'приложение №2'!D77</f>
        <v>7750.006303911735</v>
      </c>
      <c r="F95" s="31">
        <f>('приложение №2'!E52-'приложение №2'!E53)/'приложение №2'!E77</f>
        <v>2025.674152457372</v>
      </c>
      <c r="G95" s="31">
        <f>('приложение №2'!F52-'приложение №2'!F53)/'приложение №2'!F77</f>
        <v>2709.918385498761</v>
      </c>
      <c r="H95" s="31">
        <f>('приложение №2'!G52-'приложение №2'!G53)/'приложение №2'!G77</f>
        <v>6297.2254398615505</v>
      </c>
      <c r="I95" s="31">
        <f>('приложение №2'!H52-'приложение №2'!H53)/'приложение №2'!H77</f>
        <v>4511.1457167580065</v>
      </c>
      <c r="J95" s="31" t="s">
        <v>270</v>
      </c>
      <c r="K95" s="31" t="s">
        <v>270</v>
      </c>
      <c r="L95" s="28" t="s">
        <v>270</v>
      </c>
      <c r="M95" s="28" t="s">
        <v>270</v>
      </c>
      <c r="N95" s="28" t="s">
        <v>270</v>
      </c>
      <c r="O95" s="28" t="s">
        <v>270</v>
      </c>
      <c r="P95" s="28" t="s">
        <v>270</v>
      </c>
      <c r="Q95" s="28" t="s">
        <v>270</v>
      </c>
      <c r="R95" s="28" t="s">
        <v>270</v>
      </c>
    </row>
    <row r="96" spans="1:18" ht="97.5" customHeight="1">
      <c r="A96" s="28" t="s">
        <v>432</v>
      </c>
      <c r="B96" s="28" t="s">
        <v>433</v>
      </c>
      <c r="C96" s="28"/>
      <c r="D96" s="28"/>
      <c r="E96" s="28" t="s">
        <v>270</v>
      </c>
      <c r="F96" s="28" t="s">
        <v>270</v>
      </c>
      <c r="G96" s="28" t="s">
        <v>270</v>
      </c>
      <c r="H96" s="28" t="s">
        <v>270</v>
      </c>
      <c r="I96" s="28" t="s">
        <v>270</v>
      </c>
      <c r="J96" s="28" t="s">
        <v>270</v>
      </c>
      <c r="K96" s="28" t="s">
        <v>270</v>
      </c>
      <c r="L96" s="28" t="s">
        <v>270</v>
      </c>
      <c r="M96" s="28" t="s">
        <v>270</v>
      </c>
      <c r="N96" s="28" t="s">
        <v>270</v>
      </c>
      <c r="O96" s="28" t="s">
        <v>270</v>
      </c>
      <c r="P96" s="28" t="s">
        <v>270</v>
      </c>
      <c r="Q96" s="28" t="s">
        <v>270</v>
      </c>
      <c r="R96" s="28" t="s">
        <v>270</v>
      </c>
    </row>
    <row r="97" spans="1:18" ht="12.75">
      <c r="A97" s="28" t="s">
        <v>434</v>
      </c>
      <c r="B97" s="28" t="s">
        <v>317</v>
      </c>
      <c r="C97" s="28" t="s">
        <v>428</v>
      </c>
      <c r="D97" s="28" t="s">
        <v>475</v>
      </c>
      <c r="E97" s="28" t="s">
        <v>270</v>
      </c>
      <c r="F97" s="31">
        <f>F94-E94</f>
        <v>-21.190269789434225</v>
      </c>
      <c r="G97" s="31">
        <f>G94-F94</f>
        <v>-39.84567705666758</v>
      </c>
      <c r="H97" s="31">
        <f aca="true" t="shared" si="13" ref="H97:R97">H94-G94</f>
        <v>26.883196657891514</v>
      </c>
      <c r="I97" s="31">
        <f t="shared" si="13"/>
        <v>-19.68423336886908</v>
      </c>
      <c r="J97" s="31">
        <f t="shared" si="13"/>
        <v>11.56221196911195</v>
      </c>
      <c r="K97" s="31">
        <f t="shared" si="13"/>
        <v>-0.7581498682215582</v>
      </c>
      <c r="L97" s="31">
        <f t="shared" si="13"/>
        <v>-0.6813371130333792</v>
      </c>
      <c r="M97" s="31">
        <f t="shared" si="13"/>
        <v>-0.07741684647787395</v>
      </c>
      <c r="N97" s="31">
        <f t="shared" si="13"/>
        <v>-0.0771695733132205</v>
      </c>
      <c r="O97" s="31">
        <f t="shared" si="13"/>
        <v>-0.07692348296333762</v>
      </c>
      <c r="P97" s="31">
        <f t="shared" si="13"/>
        <v>-0.07667856789630179</v>
      </c>
      <c r="Q97" s="31">
        <f t="shared" si="13"/>
        <v>-0.07643482064013085</v>
      </c>
      <c r="R97" s="31">
        <f t="shared" si="13"/>
        <v>-0.07619223378206641</v>
      </c>
    </row>
    <row r="98" spans="1:18" ht="12.75">
      <c r="A98" s="28" t="s">
        <v>435</v>
      </c>
      <c r="B98" s="28" t="s">
        <v>319</v>
      </c>
      <c r="C98" s="28" t="s">
        <v>428</v>
      </c>
      <c r="D98" s="28" t="s">
        <v>476</v>
      </c>
      <c r="E98" s="28" t="s">
        <v>270</v>
      </c>
      <c r="F98" s="31">
        <f>F94-$E$94</f>
        <v>-21.190269789434225</v>
      </c>
      <c r="G98" s="31">
        <f aca="true" t="shared" si="14" ref="G98:R98">G94-$E$94</f>
        <v>-61.03594684610181</v>
      </c>
      <c r="H98" s="31">
        <f t="shared" si="14"/>
        <v>-34.15275018821029</v>
      </c>
      <c r="I98" s="31">
        <f t="shared" si="14"/>
        <v>-53.83698355707937</v>
      </c>
      <c r="J98" s="31">
        <f t="shared" si="14"/>
        <v>-42.27477158796742</v>
      </c>
      <c r="K98" s="31">
        <f t="shared" si="14"/>
        <v>-43.03292145618898</v>
      </c>
      <c r="L98" s="31">
        <f t="shared" si="14"/>
        <v>-43.71425856922236</v>
      </c>
      <c r="M98" s="31">
        <f t="shared" si="14"/>
        <v>-43.79167541570023</v>
      </c>
      <c r="N98" s="31">
        <f t="shared" si="14"/>
        <v>-43.86884498901345</v>
      </c>
      <c r="O98" s="31">
        <f t="shared" si="14"/>
        <v>-43.94576847197679</v>
      </c>
      <c r="P98" s="31">
        <f t="shared" si="14"/>
        <v>-44.02244703987309</v>
      </c>
      <c r="Q98" s="31">
        <f t="shared" si="14"/>
        <v>-44.098881860513224</v>
      </c>
      <c r="R98" s="31">
        <f t="shared" si="14"/>
        <v>-44.17507409429529</v>
      </c>
    </row>
    <row r="99" spans="1:18" ht="68.25" customHeight="1">
      <c r="A99" s="28" t="s">
        <v>436</v>
      </c>
      <c r="B99" s="28" t="s">
        <v>437</v>
      </c>
      <c r="C99" s="28"/>
      <c r="D99" s="28"/>
      <c r="E99" s="28" t="s">
        <v>270</v>
      </c>
      <c r="F99" s="28" t="s">
        <v>270</v>
      </c>
      <c r="G99" s="28" t="s">
        <v>270</v>
      </c>
      <c r="H99" s="28" t="s">
        <v>270</v>
      </c>
      <c r="I99" s="28" t="s">
        <v>270</v>
      </c>
      <c r="J99" s="28" t="s">
        <v>270</v>
      </c>
      <c r="K99" s="28" t="s">
        <v>270</v>
      </c>
      <c r="L99" s="28" t="s">
        <v>270</v>
      </c>
      <c r="M99" s="28" t="s">
        <v>270</v>
      </c>
      <c r="N99" s="28" t="s">
        <v>270</v>
      </c>
      <c r="O99" s="28" t="s">
        <v>270</v>
      </c>
      <c r="P99" s="28" t="s">
        <v>270</v>
      </c>
      <c r="Q99" s="28" t="s">
        <v>270</v>
      </c>
      <c r="R99" s="28" t="s">
        <v>270</v>
      </c>
    </row>
    <row r="100" spans="1:18" ht="12.75">
      <c r="A100" s="28" t="s">
        <v>438</v>
      </c>
      <c r="B100" s="28" t="s">
        <v>317</v>
      </c>
      <c r="C100" s="28" t="s">
        <v>428</v>
      </c>
      <c r="D100" s="28" t="s">
        <v>477</v>
      </c>
      <c r="E100" s="28" t="s">
        <v>270</v>
      </c>
      <c r="F100" s="31">
        <f>F95-E95</f>
        <v>-5724.332151454363</v>
      </c>
      <c r="G100" s="31">
        <f>G95-F95</f>
        <v>684.244233041389</v>
      </c>
      <c r="H100" s="31">
        <f>H95-G95</f>
        <v>3587.3070543627896</v>
      </c>
      <c r="I100" s="31">
        <f>I95-H95</f>
        <v>-1786.079723103544</v>
      </c>
      <c r="J100" s="60" t="s">
        <v>270</v>
      </c>
      <c r="K100" s="28" t="s">
        <v>270</v>
      </c>
      <c r="L100" s="28" t="s">
        <v>270</v>
      </c>
      <c r="M100" s="28" t="s">
        <v>270</v>
      </c>
      <c r="N100" s="28" t="s">
        <v>270</v>
      </c>
      <c r="O100" s="28" t="s">
        <v>270</v>
      </c>
      <c r="P100" s="28" t="s">
        <v>270</v>
      </c>
      <c r="Q100" s="28" t="s">
        <v>270</v>
      </c>
      <c r="R100" s="28" t="s">
        <v>270</v>
      </c>
    </row>
    <row r="101" spans="1:18" ht="12.75">
      <c r="A101" s="28" t="s">
        <v>439</v>
      </c>
      <c r="B101" s="28" t="s">
        <v>319</v>
      </c>
      <c r="C101" s="28" t="s">
        <v>428</v>
      </c>
      <c r="D101" s="28" t="s">
        <v>478</v>
      </c>
      <c r="E101" s="28" t="s">
        <v>270</v>
      </c>
      <c r="F101" s="31">
        <f>F95-$E$95</f>
        <v>-5724.332151454363</v>
      </c>
      <c r="G101" s="31">
        <f>G95-$E$95</f>
        <v>-5040.0879184129735</v>
      </c>
      <c r="H101" s="31">
        <f>H95-$E$95</f>
        <v>-1452.7808640501844</v>
      </c>
      <c r="I101" s="31">
        <f>I95-$E$95</f>
        <v>-3238.8605871537284</v>
      </c>
      <c r="J101" s="31" t="s">
        <v>270</v>
      </c>
      <c r="K101" s="31" t="s">
        <v>270</v>
      </c>
      <c r="L101" s="28" t="s">
        <v>270</v>
      </c>
      <c r="M101" s="28" t="s">
        <v>270</v>
      </c>
      <c r="N101" s="28" t="s">
        <v>270</v>
      </c>
      <c r="O101" s="28" t="s">
        <v>270</v>
      </c>
      <c r="P101" s="28" t="s">
        <v>270</v>
      </c>
      <c r="Q101" s="28" t="s">
        <v>270</v>
      </c>
      <c r="R101" s="28" t="s">
        <v>270</v>
      </c>
    </row>
    <row r="102" spans="1:18" ht="105.75" customHeight="1">
      <c r="A102" s="28" t="s">
        <v>440</v>
      </c>
      <c r="B102" s="28" t="s">
        <v>441</v>
      </c>
      <c r="C102" s="28"/>
      <c r="D102" s="28"/>
      <c r="E102" s="28" t="s">
        <v>270</v>
      </c>
      <c r="F102" s="28" t="s">
        <v>270</v>
      </c>
      <c r="G102" s="28" t="s">
        <v>270</v>
      </c>
      <c r="H102" s="28" t="s">
        <v>270</v>
      </c>
      <c r="I102" s="28" t="s">
        <v>270</v>
      </c>
      <c r="J102" s="28" t="s">
        <v>270</v>
      </c>
      <c r="K102" s="28" t="s">
        <v>270</v>
      </c>
      <c r="L102" s="28" t="s">
        <v>270</v>
      </c>
      <c r="M102" s="28" t="s">
        <v>270</v>
      </c>
      <c r="N102" s="28" t="s">
        <v>270</v>
      </c>
      <c r="O102" s="28" t="s">
        <v>270</v>
      </c>
      <c r="P102" s="28" t="s">
        <v>270</v>
      </c>
      <c r="Q102" s="28" t="s">
        <v>270</v>
      </c>
      <c r="R102" s="28" t="s">
        <v>270</v>
      </c>
    </row>
    <row r="103" spans="1:18" ht="19.5" customHeight="1">
      <c r="A103" s="28" t="s">
        <v>442</v>
      </c>
      <c r="B103" s="28" t="s">
        <v>317</v>
      </c>
      <c r="C103" s="28" t="s">
        <v>270</v>
      </c>
      <c r="D103" s="28" t="s">
        <v>443</v>
      </c>
      <c r="E103" s="31">
        <f>E95/E94</f>
        <v>84.13628973086504</v>
      </c>
      <c r="F103" s="31">
        <f>F95/F94</f>
        <v>28.56189604021598</v>
      </c>
      <c r="G103" s="31">
        <f>G95/G94</f>
        <v>87.20130484318622</v>
      </c>
      <c r="H103" s="31">
        <f>H95/H94</f>
        <v>108.64819930169925</v>
      </c>
      <c r="I103" s="31">
        <f>I95/I94</f>
        <v>117.8597414636932</v>
      </c>
      <c r="J103" s="28" t="s">
        <v>270</v>
      </c>
      <c r="K103" s="28" t="s">
        <v>270</v>
      </c>
      <c r="L103" s="28" t="s">
        <v>270</v>
      </c>
      <c r="M103" s="28" t="s">
        <v>270</v>
      </c>
      <c r="N103" s="28" t="s">
        <v>270</v>
      </c>
      <c r="O103" s="28" t="s">
        <v>270</v>
      </c>
      <c r="P103" s="28" t="s">
        <v>270</v>
      </c>
      <c r="Q103" s="28" t="s">
        <v>270</v>
      </c>
      <c r="R103" s="28" t="s">
        <v>270</v>
      </c>
    </row>
    <row r="104" spans="1:18" ht="27" customHeight="1">
      <c r="A104" s="28" t="s">
        <v>444</v>
      </c>
      <c r="B104" s="28" t="s">
        <v>319</v>
      </c>
      <c r="C104" s="28" t="s">
        <v>270</v>
      </c>
      <c r="D104" s="28" t="s">
        <v>445</v>
      </c>
      <c r="E104" s="31">
        <f>E95/$E$94</f>
        <v>84.13628973086504</v>
      </c>
      <c r="F104" s="31">
        <f>F95/$E$94</f>
        <v>21.991299194873406</v>
      </c>
      <c r="G104" s="31">
        <f>G95/$E$94</f>
        <v>29.419650705863287</v>
      </c>
      <c r="H104" s="31">
        <f>H95/$E$94</f>
        <v>68.36448427678592</v>
      </c>
      <c r="I104" s="31">
        <f>I95/$E$94</f>
        <v>48.97429087918652</v>
      </c>
      <c r="J104" s="28" t="s">
        <v>270</v>
      </c>
      <c r="K104" s="28" t="s">
        <v>270</v>
      </c>
      <c r="L104" s="28" t="s">
        <v>270</v>
      </c>
      <c r="M104" s="28" t="s">
        <v>270</v>
      </c>
      <c r="N104" s="28" t="s">
        <v>270</v>
      </c>
      <c r="O104" s="28" t="s">
        <v>270</v>
      </c>
      <c r="P104" s="28" t="s">
        <v>270</v>
      </c>
      <c r="Q104" s="28" t="s">
        <v>270</v>
      </c>
      <c r="R104" s="28" t="s">
        <v>270</v>
      </c>
    </row>
    <row r="105" spans="1:18" ht="92.25" customHeight="1">
      <c r="A105" s="28" t="s">
        <v>446</v>
      </c>
      <c r="B105" s="28" t="s">
        <v>447</v>
      </c>
      <c r="C105" s="28" t="s">
        <v>448</v>
      </c>
      <c r="D105" s="28" t="s">
        <v>449</v>
      </c>
      <c r="E105" s="58">
        <v>0</v>
      </c>
      <c r="F105" s="31">
        <f>('приложение №2'!E67+'приложение №2'!E69)/'приложение №2'!E78</f>
        <v>0.07924705352451018</v>
      </c>
      <c r="G105" s="31">
        <f>('приложение №2'!F67+'приложение №2'!F69)/'приложение №2'!F78</f>
        <v>0.06790946968121579</v>
      </c>
      <c r="H105" s="31">
        <f>('приложение №2'!G67+'приложение №2'!G69)/'приложение №2'!G78</f>
        <v>0.048341263611805234</v>
      </c>
      <c r="I105" s="31">
        <f>('приложение №2'!H67+'приложение №2'!H69)/'приложение №2'!H78</f>
        <v>0.04544275806247676</v>
      </c>
      <c r="J105" s="31">
        <f>('приложение №2'!P67+'приложение №2'!P69)/'приложение №2'!P78</f>
        <v>0.03904737488754227</v>
      </c>
      <c r="K105" s="31">
        <f>('приложение №2'!Q67+'приложение №2'!Q69)/'приложение №2'!Q78</f>
        <v>0.1528924542984546</v>
      </c>
      <c r="L105" s="28" t="s">
        <v>270</v>
      </c>
      <c r="M105" s="28" t="s">
        <v>270</v>
      </c>
      <c r="N105" s="28" t="s">
        <v>270</v>
      </c>
      <c r="O105" s="28" t="s">
        <v>270</v>
      </c>
      <c r="P105" s="28" t="s">
        <v>270</v>
      </c>
      <c r="Q105" s="28" t="s">
        <v>270</v>
      </c>
      <c r="R105" s="28" t="s">
        <v>270</v>
      </c>
    </row>
    <row r="106" spans="1:18" ht="76.5" customHeight="1">
      <c r="A106" s="28" t="s">
        <v>450</v>
      </c>
      <c r="B106" s="28" t="s">
        <v>451</v>
      </c>
      <c r="C106" s="28" t="s">
        <v>448</v>
      </c>
      <c r="D106" s="28" t="s">
        <v>452</v>
      </c>
      <c r="E106" s="31">
        <f>('приложение №2'!D66-'приложение №2'!D67)/'приложение №2'!D79</f>
        <v>0.15056400196174619</v>
      </c>
      <c r="F106" s="31">
        <f>('приложение №2'!E66-'приложение №2'!E67)/'приложение №2'!E79</f>
        <v>0.19102501226091131</v>
      </c>
      <c r="G106" s="31">
        <f>('приложение №2'!F66-'приложение №2'!F67)/'приложение №2'!F79</f>
        <v>0.0008303207909431412</v>
      </c>
      <c r="H106" s="31">
        <f>('приложение №2'!G66-'приложение №2'!G67)/'приложение №2'!G79</f>
        <v>0.0008840452395693886</v>
      </c>
      <c r="I106" s="31">
        <f>('приложение №2'!H66-'приложение №2'!H67)/'приложение №2'!H79</f>
        <v>0.0009034947534936197</v>
      </c>
      <c r="J106" s="56" t="s">
        <v>270</v>
      </c>
      <c r="K106" s="56" t="s">
        <v>270</v>
      </c>
      <c r="L106" s="56" t="s">
        <v>270</v>
      </c>
      <c r="M106" s="56" t="s">
        <v>270</v>
      </c>
      <c r="N106" s="56" t="s">
        <v>270</v>
      </c>
      <c r="O106" s="56" t="s">
        <v>270</v>
      </c>
      <c r="P106" s="56" t="s">
        <v>270</v>
      </c>
      <c r="Q106" s="56" t="s">
        <v>270</v>
      </c>
      <c r="R106" s="56" t="s">
        <v>270</v>
      </c>
    </row>
    <row r="107" spans="1:18" ht="82.5" customHeight="1">
      <c r="A107" s="28" t="s">
        <v>453</v>
      </c>
      <c r="B107" s="28" t="s">
        <v>454</v>
      </c>
      <c r="C107" s="28"/>
      <c r="D107" s="28"/>
      <c r="E107" s="28" t="s">
        <v>270</v>
      </c>
      <c r="F107" s="28" t="s">
        <v>270</v>
      </c>
      <c r="G107" s="28" t="s">
        <v>270</v>
      </c>
      <c r="H107" s="28" t="s">
        <v>270</v>
      </c>
      <c r="I107" s="28" t="s">
        <v>270</v>
      </c>
      <c r="J107" s="28" t="s">
        <v>270</v>
      </c>
      <c r="K107" s="28" t="s">
        <v>270</v>
      </c>
      <c r="L107" s="28" t="s">
        <v>270</v>
      </c>
      <c r="M107" s="28" t="s">
        <v>270</v>
      </c>
      <c r="N107" s="28" t="s">
        <v>270</v>
      </c>
      <c r="O107" s="28" t="s">
        <v>270</v>
      </c>
      <c r="P107" s="28" t="s">
        <v>270</v>
      </c>
      <c r="Q107" s="28" t="s">
        <v>270</v>
      </c>
      <c r="R107" s="28" t="s">
        <v>270</v>
      </c>
    </row>
    <row r="108" spans="1:18" ht="25.5">
      <c r="A108" s="28" t="s">
        <v>455</v>
      </c>
      <c r="B108" s="28" t="s">
        <v>317</v>
      </c>
      <c r="C108" s="28" t="s">
        <v>448</v>
      </c>
      <c r="D108" s="28" t="s">
        <v>479</v>
      </c>
      <c r="E108" s="28" t="s">
        <v>270</v>
      </c>
      <c r="F108" s="31">
        <f>F105-E105</f>
        <v>0.07924705352451018</v>
      </c>
      <c r="G108" s="31">
        <f>G105-F105</f>
        <v>-0.011337583843294391</v>
      </c>
      <c r="H108" s="31">
        <f>H105-G105</f>
        <v>-0.01956820606941056</v>
      </c>
      <c r="I108" s="31">
        <f>I105-H105</f>
        <v>-0.002898505549328474</v>
      </c>
      <c r="J108" s="31">
        <f>J105-I105</f>
        <v>-0.006395383174934488</v>
      </c>
      <c r="K108" s="31">
        <f>K105-J105</f>
        <v>0.11384507941091233</v>
      </c>
      <c r="L108" s="28" t="s">
        <v>270</v>
      </c>
      <c r="M108" s="28" t="s">
        <v>270</v>
      </c>
      <c r="N108" s="28" t="s">
        <v>270</v>
      </c>
      <c r="O108" s="28" t="s">
        <v>270</v>
      </c>
      <c r="P108" s="28" t="s">
        <v>270</v>
      </c>
      <c r="Q108" s="28" t="s">
        <v>270</v>
      </c>
      <c r="R108" s="28" t="s">
        <v>270</v>
      </c>
    </row>
    <row r="109" spans="1:18" ht="25.5">
      <c r="A109" s="28" t="s">
        <v>456</v>
      </c>
      <c r="B109" s="28" t="s">
        <v>319</v>
      </c>
      <c r="C109" s="28" t="s">
        <v>448</v>
      </c>
      <c r="D109" s="28" t="s">
        <v>480</v>
      </c>
      <c r="E109" s="28" t="s">
        <v>270</v>
      </c>
      <c r="F109" s="31">
        <f>F105-$E$105</f>
        <v>0.07924705352451018</v>
      </c>
      <c r="G109" s="31">
        <f>G105-$E$105</f>
        <v>0.06790946968121579</v>
      </c>
      <c r="H109" s="31">
        <f>H105-$E$105</f>
        <v>0.048341263611805234</v>
      </c>
      <c r="I109" s="31">
        <f>I105-$E$105</f>
        <v>0.04544275806247676</v>
      </c>
      <c r="J109" s="31">
        <f>J105-$E$105</f>
        <v>0.03904737488754227</v>
      </c>
      <c r="K109" s="31">
        <f>K105-$E$105</f>
        <v>0.1528924542984546</v>
      </c>
      <c r="L109" s="28" t="s">
        <v>270</v>
      </c>
      <c r="M109" s="28" t="s">
        <v>270</v>
      </c>
      <c r="N109" s="28" t="s">
        <v>270</v>
      </c>
      <c r="O109" s="28" t="s">
        <v>270</v>
      </c>
      <c r="P109" s="28" t="s">
        <v>270</v>
      </c>
      <c r="Q109" s="28" t="s">
        <v>270</v>
      </c>
      <c r="R109" s="28" t="s">
        <v>270</v>
      </c>
    </row>
    <row r="110" spans="1:18" ht="89.25" customHeight="1">
      <c r="A110" s="28" t="s">
        <v>457</v>
      </c>
      <c r="B110" s="28" t="s">
        <v>458</v>
      </c>
      <c r="C110" s="28"/>
      <c r="D110" s="28"/>
      <c r="E110" s="28" t="s">
        <v>270</v>
      </c>
      <c r="F110" s="28" t="s">
        <v>270</v>
      </c>
      <c r="G110" s="28" t="s">
        <v>270</v>
      </c>
      <c r="H110" s="28" t="s">
        <v>270</v>
      </c>
      <c r="I110" s="28" t="s">
        <v>270</v>
      </c>
      <c r="J110" s="28" t="s">
        <v>270</v>
      </c>
      <c r="K110" s="28" t="s">
        <v>270</v>
      </c>
      <c r="L110" s="28" t="s">
        <v>270</v>
      </c>
      <c r="M110" s="28" t="s">
        <v>270</v>
      </c>
      <c r="N110" s="28" t="s">
        <v>270</v>
      </c>
      <c r="O110" s="28" t="s">
        <v>270</v>
      </c>
      <c r="P110" s="28" t="s">
        <v>270</v>
      </c>
      <c r="Q110" s="28" t="s">
        <v>270</v>
      </c>
      <c r="R110" s="28" t="s">
        <v>270</v>
      </c>
    </row>
    <row r="111" spans="1:18" ht="25.5">
      <c r="A111" s="28" t="s">
        <v>459</v>
      </c>
      <c r="B111" s="28" t="s">
        <v>317</v>
      </c>
      <c r="C111" s="28" t="s">
        <v>448</v>
      </c>
      <c r="D111" s="28" t="s">
        <v>481</v>
      </c>
      <c r="E111" s="28" t="s">
        <v>270</v>
      </c>
      <c r="F111" s="31">
        <f>F106-E106</f>
        <v>0.04046101029916513</v>
      </c>
      <c r="G111" s="31">
        <f>G106-F106</f>
        <v>-0.19019469146996817</v>
      </c>
      <c r="H111" s="31" t="s">
        <v>270</v>
      </c>
      <c r="I111" s="31" t="s">
        <v>270</v>
      </c>
      <c r="J111" s="31">
        <f>1*-I106</f>
        <v>-0.0009034947534936197</v>
      </c>
      <c r="K111" s="56" t="s">
        <v>270</v>
      </c>
      <c r="L111" s="56" t="s">
        <v>270</v>
      </c>
      <c r="M111" s="56" t="s">
        <v>270</v>
      </c>
      <c r="N111" s="56" t="s">
        <v>270</v>
      </c>
      <c r="O111" s="28" t="s">
        <v>270</v>
      </c>
      <c r="P111" s="28" t="s">
        <v>270</v>
      </c>
      <c r="Q111" s="28" t="s">
        <v>270</v>
      </c>
      <c r="R111" s="28" t="s">
        <v>270</v>
      </c>
    </row>
    <row r="112" spans="1:18" ht="25.5">
      <c r="A112" s="28" t="s">
        <v>460</v>
      </c>
      <c r="B112" s="28" t="s">
        <v>319</v>
      </c>
      <c r="C112" s="28" t="s">
        <v>448</v>
      </c>
      <c r="D112" s="28" t="s">
        <v>482</v>
      </c>
      <c r="E112" s="28" t="s">
        <v>270</v>
      </c>
      <c r="F112" s="31">
        <f>F106-$E$106</f>
        <v>0.04046101029916513</v>
      </c>
      <c r="G112" s="31">
        <f>G106-$E$106</f>
        <v>-0.14973368117080305</v>
      </c>
      <c r="H112" s="31">
        <f>H106-$E$106</f>
        <v>-0.1496799567221768</v>
      </c>
      <c r="I112" s="31">
        <f>I106-$E$106</f>
        <v>-0.14966050720825255</v>
      </c>
      <c r="J112" s="31">
        <f>$E$106*-1</f>
        <v>-0.15056400196174619</v>
      </c>
      <c r="K112" s="31">
        <f aca="true" t="shared" si="15" ref="K112:R112">$E$106*-1</f>
        <v>-0.15056400196174619</v>
      </c>
      <c r="L112" s="31">
        <f t="shared" si="15"/>
        <v>-0.15056400196174619</v>
      </c>
      <c r="M112" s="31">
        <f t="shared" si="15"/>
        <v>-0.15056400196174619</v>
      </c>
      <c r="N112" s="31">
        <f t="shared" si="15"/>
        <v>-0.15056400196174619</v>
      </c>
      <c r="O112" s="31">
        <f t="shared" si="15"/>
        <v>-0.15056400196174619</v>
      </c>
      <c r="P112" s="31">
        <f t="shared" si="15"/>
        <v>-0.15056400196174619</v>
      </c>
      <c r="Q112" s="31">
        <f t="shared" si="15"/>
        <v>-0.15056400196174619</v>
      </c>
      <c r="R112" s="31">
        <f t="shared" si="15"/>
        <v>-0.15056400196174619</v>
      </c>
    </row>
    <row r="113" spans="1:18" ht="94.5" customHeight="1">
      <c r="A113" s="28" t="s">
        <v>461</v>
      </c>
      <c r="B113" s="28" t="s">
        <v>462</v>
      </c>
      <c r="C113" s="28"/>
      <c r="D113" s="28"/>
      <c r="E113" s="28" t="s">
        <v>270</v>
      </c>
      <c r="F113" s="28" t="s">
        <v>270</v>
      </c>
      <c r="G113" s="28" t="s">
        <v>270</v>
      </c>
      <c r="H113" s="28" t="s">
        <v>270</v>
      </c>
      <c r="I113" s="28" t="s">
        <v>270</v>
      </c>
      <c r="J113" s="28" t="s">
        <v>270</v>
      </c>
      <c r="K113" s="28" t="s">
        <v>270</v>
      </c>
      <c r="L113" s="28" t="s">
        <v>270</v>
      </c>
      <c r="M113" s="28" t="s">
        <v>270</v>
      </c>
      <c r="N113" s="28" t="s">
        <v>270</v>
      </c>
      <c r="O113" s="28" t="s">
        <v>270</v>
      </c>
      <c r="P113" s="28" t="s">
        <v>270</v>
      </c>
      <c r="Q113" s="28" t="s">
        <v>270</v>
      </c>
      <c r="R113" s="28" t="s">
        <v>270</v>
      </c>
    </row>
    <row r="114" spans="1:18" ht="12.75">
      <c r="A114" s="28" t="s">
        <v>463</v>
      </c>
      <c r="B114" s="28" t="s">
        <v>317</v>
      </c>
      <c r="C114" s="28" t="s">
        <v>270</v>
      </c>
      <c r="D114" s="28" t="s">
        <v>464</v>
      </c>
      <c r="E114" s="28" t="s">
        <v>270</v>
      </c>
      <c r="F114" s="28">
        <f>F106/F105</f>
        <v>2.4104998705324676</v>
      </c>
      <c r="G114" s="31">
        <f>G106/G105</f>
        <v>0.012226877854309226</v>
      </c>
      <c r="H114" s="31">
        <f>H106/H105</f>
        <v>0.01828759063206406</v>
      </c>
      <c r="I114" s="31">
        <f>I106/I105</f>
        <v>0.019882040439787002</v>
      </c>
      <c r="J114" s="28" t="s">
        <v>270</v>
      </c>
      <c r="K114" s="28" t="s">
        <v>270</v>
      </c>
      <c r="L114" s="28" t="s">
        <v>270</v>
      </c>
      <c r="M114" s="28" t="s">
        <v>270</v>
      </c>
      <c r="N114" s="28" t="s">
        <v>270</v>
      </c>
      <c r="O114" s="28" t="s">
        <v>270</v>
      </c>
      <c r="P114" s="28" t="s">
        <v>270</v>
      </c>
      <c r="Q114" s="28" t="s">
        <v>270</v>
      </c>
      <c r="R114" s="28" t="s">
        <v>270</v>
      </c>
    </row>
    <row r="115" spans="1:18" ht="12.75">
      <c r="A115" s="28" t="s">
        <v>465</v>
      </c>
      <c r="B115" s="28" t="s">
        <v>319</v>
      </c>
      <c r="C115" s="28" t="s">
        <v>270</v>
      </c>
      <c r="D115" s="28" t="s">
        <v>466</v>
      </c>
      <c r="E115" s="28" t="s">
        <v>270</v>
      </c>
      <c r="F115" s="28" t="s">
        <v>270</v>
      </c>
      <c r="G115" s="28" t="s">
        <v>270</v>
      </c>
      <c r="H115" s="28" t="s">
        <v>270</v>
      </c>
      <c r="I115" s="28" t="s">
        <v>270</v>
      </c>
      <c r="J115" s="28" t="s">
        <v>270</v>
      </c>
      <c r="K115" s="28" t="s">
        <v>270</v>
      </c>
      <c r="L115" s="28" t="s">
        <v>270</v>
      </c>
      <c r="M115" s="28" t="s">
        <v>270</v>
      </c>
      <c r="N115" s="28" t="s">
        <v>270</v>
      </c>
      <c r="O115" s="28" t="s">
        <v>270</v>
      </c>
      <c r="P115" s="28" t="s">
        <v>270</v>
      </c>
      <c r="Q115" s="28" t="s">
        <v>270</v>
      </c>
      <c r="R115" s="28" t="s">
        <v>270</v>
      </c>
    </row>
    <row r="116" spans="1:18" ht="24.75" customHeight="1" thickBot="1">
      <c r="A116" s="74" t="s">
        <v>483</v>
      </c>
      <c r="B116" s="75"/>
      <c r="C116" s="75"/>
      <c r="D116" s="75"/>
      <c r="E116" s="76"/>
      <c r="F116" s="76"/>
      <c r="G116" s="76"/>
      <c r="H116" s="76"/>
      <c r="I116" s="76"/>
      <c r="J116" s="76"/>
      <c r="K116" s="76"/>
      <c r="L116" s="76"/>
      <c r="M116" s="77"/>
      <c r="N116" s="28"/>
      <c r="O116" s="28"/>
      <c r="P116" s="28"/>
      <c r="Q116" s="28"/>
      <c r="R116" s="28"/>
    </row>
    <row r="117" spans="1:18" ht="25.5">
      <c r="A117" s="28" t="s">
        <v>484</v>
      </c>
      <c r="B117" s="28" t="s">
        <v>485</v>
      </c>
      <c r="C117" s="28" t="s">
        <v>486</v>
      </c>
      <c r="D117" s="28" t="s">
        <v>517</v>
      </c>
      <c r="E117" s="39" t="s">
        <v>270</v>
      </c>
      <c r="F117" s="39" t="s">
        <v>270</v>
      </c>
      <c r="G117" s="39" t="s">
        <v>270</v>
      </c>
      <c r="H117" s="39" t="s">
        <v>270</v>
      </c>
      <c r="I117" s="39" t="s">
        <v>270</v>
      </c>
      <c r="J117" s="39" t="s">
        <v>270</v>
      </c>
      <c r="K117" s="39" t="s">
        <v>270</v>
      </c>
      <c r="L117" s="39" t="s">
        <v>270</v>
      </c>
      <c r="M117" s="39" t="s">
        <v>270</v>
      </c>
      <c r="N117" s="39" t="s">
        <v>270</v>
      </c>
      <c r="O117" s="39" t="s">
        <v>270</v>
      </c>
      <c r="P117" s="39" t="s">
        <v>270</v>
      </c>
      <c r="Q117" s="39" t="s">
        <v>270</v>
      </c>
      <c r="R117" s="39" t="s">
        <v>270</v>
      </c>
    </row>
    <row r="118" spans="1:18" ht="37.5" customHeight="1">
      <c r="A118" s="28" t="s">
        <v>487</v>
      </c>
      <c r="B118" s="28" t="s">
        <v>488</v>
      </c>
      <c r="C118" s="28" t="s">
        <v>489</v>
      </c>
      <c r="D118" s="28" t="s">
        <v>516</v>
      </c>
      <c r="E118" s="39" t="s">
        <v>270</v>
      </c>
      <c r="F118" s="37">
        <f>'приложение №2'!E81-'приложение №2'!D81</f>
        <v>-0.00899999999999998</v>
      </c>
      <c r="G118" s="37">
        <f>'приложение №2'!F81-'приложение №2'!E81</f>
        <v>0.028999999999999998</v>
      </c>
      <c r="H118" s="37">
        <f>'приложение №2'!G81-'приложение №2'!F81</f>
        <v>-0.009000000000000008</v>
      </c>
      <c r="I118" s="37">
        <f>'приложение №2'!H81-'приложение №2'!G81</f>
        <v>-0.028999999999999998</v>
      </c>
      <c r="J118" s="39" t="s">
        <v>270</v>
      </c>
      <c r="K118" s="39" t="s">
        <v>270</v>
      </c>
      <c r="L118" s="39" t="s">
        <v>270</v>
      </c>
      <c r="M118" s="39" t="s">
        <v>270</v>
      </c>
      <c r="N118" s="39" t="s">
        <v>270</v>
      </c>
      <c r="O118" s="39" t="s">
        <v>270</v>
      </c>
      <c r="P118" s="39" t="s">
        <v>270</v>
      </c>
      <c r="Q118" s="39" t="s">
        <v>270</v>
      </c>
      <c r="R118" s="39" t="s">
        <v>270</v>
      </c>
    </row>
    <row r="119" spans="1:18" ht="38.25">
      <c r="A119" s="28" t="s">
        <v>490</v>
      </c>
      <c r="B119" s="28" t="s">
        <v>491</v>
      </c>
      <c r="C119" s="28" t="s">
        <v>492</v>
      </c>
      <c r="D119" s="28" t="s">
        <v>518</v>
      </c>
      <c r="E119" s="39" t="s">
        <v>270</v>
      </c>
      <c r="F119" s="37">
        <f>'приложение №2'!E82-'приложение №2'!D82</f>
        <v>98510</v>
      </c>
      <c r="G119" s="37">
        <f>'приложение №2'!F82-'приложение №2'!E82</f>
        <v>7600180</v>
      </c>
      <c r="H119" s="37">
        <f>'приложение №2'!G82-'приложение №2'!F82</f>
        <v>-134196</v>
      </c>
      <c r="I119" s="37">
        <f>'приложение №2'!H82-'приложение №2'!G82</f>
        <v>-3513424</v>
      </c>
      <c r="J119" s="39" t="s">
        <v>270</v>
      </c>
      <c r="K119" s="39" t="s">
        <v>270</v>
      </c>
      <c r="L119" s="39" t="s">
        <v>270</v>
      </c>
      <c r="M119" s="39" t="s">
        <v>270</v>
      </c>
      <c r="N119" s="39" t="s">
        <v>270</v>
      </c>
      <c r="O119" s="39" t="s">
        <v>270</v>
      </c>
      <c r="P119" s="39" t="s">
        <v>270</v>
      </c>
      <c r="Q119" s="39" t="s">
        <v>270</v>
      </c>
      <c r="R119" s="39" t="s">
        <v>270</v>
      </c>
    </row>
    <row r="120" spans="1:18" ht="25.5">
      <c r="A120" s="28" t="s">
        <v>493</v>
      </c>
      <c r="B120" s="28" t="s">
        <v>494</v>
      </c>
      <c r="C120" s="28" t="s">
        <v>495</v>
      </c>
      <c r="D120" s="28" t="s">
        <v>519</v>
      </c>
      <c r="E120" s="39" t="s">
        <v>270</v>
      </c>
      <c r="F120" s="37">
        <f>'приложение №2'!E83-'приложение №2'!D83</f>
        <v>22960.530000000013</v>
      </c>
      <c r="G120" s="37">
        <f>'приложение №2'!F83-'приложение №2'!E83</f>
        <v>10401.87599999999</v>
      </c>
      <c r="H120" s="37">
        <f>'приложение №2'!G83-'приложение №2'!F83</f>
        <v>684.2390000000014</v>
      </c>
      <c r="I120" s="37">
        <f>'приложение №2'!H83-'приложение №2'!G83</f>
        <v>-788.0939999999973</v>
      </c>
      <c r="J120" s="37">
        <f>'приложение №2'!I83-'приложение №2'!H83</f>
        <v>-2214.4900000000052</v>
      </c>
      <c r="K120" s="37">
        <f>'приложение №2'!J83-'приложение №2'!I83</f>
        <v>-1076.2599999999948</v>
      </c>
      <c r="L120" s="39" t="s">
        <v>270</v>
      </c>
      <c r="M120" s="39" t="s">
        <v>270</v>
      </c>
      <c r="N120" s="39" t="s">
        <v>270</v>
      </c>
      <c r="O120" s="39" t="s">
        <v>270</v>
      </c>
      <c r="P120" s="39" t="s">
        <v>270</v>
      </c>
      <c r="Q120" s="39" t="s">
        <v>270</v>
      </c>
      <c r="R120" s="39" t="s">
        <v>270</v>
      </c>
    </row>
    <row r="121" spans="1:18" ht="25.5">
      <c r="A121" s="28" t="s">
        <v>496</v>
      </c>
      <c r="B121" s="28" t="s">
        <v>497</v>
      </c>
      <c r="C121" s="28" t="s">
        <v>32</v>
      </c>
      <c r="D121" s="28" t="s">
        <v>520</v>
      </c>
      <c r="E121" s="39" t="s">
        <v>270</v>
      </c>
      <c r="F121" s="37">
        <f>'приложение №2'!E84-'приложение №2'!D84</f>
        <v>55940.845</v>
      </c>
      <c r="G121" s="37">
        <f>'приложение №2'!F84-'приложение №2'!E84</f>
        <v>68960.88500000004</v>
      </c>
      <c r="H121" s="37">
        <f>'приложение №2'!G84-'приложение №2'!F84</f>
        <v>33022.70999999996</v>
      </c>
      <c r="I121" s="37">
        <f>'приложение №2'!H84-'приложение №2'!G84</f>
        <v>-224020.922</v>
      </c>
      <c r="J121" s="37">
        <f>'приложение №2'!I84-'приложение №2'!H84</f>
        <v>-5180.665999999997</v>
      </c>
      <c r="K121" s="37">
        <f>'приложение №2'!J84-'приложение №2'!I84</f>
        <v>-3150</v>
      </c>
      <c r="L121" s="39" t="s">
        <v>270</v>
      </c>
      <c r="M121" s="39" t="s">
        <v>270</v>
      </c>
      <c r="N121" s="39" t="s">
        <v>270</v>
      </c>
      <c r="O121" s="39" t="s">
        <v>270</v>
      </c>
      <c r="P121" s="39" t="s">
        <v>270</v>
      </c>
      <c r="Q121" s="39" t="s">
        <v>270</v>
      </c>
      <c r="R121" s="39" t="s">
        <v>270</v>
      </c>
    </row>
    <row r="122" spans="1:18" ht="38.25">
      <c r="A122" s="28" t="s">
        <v>498</v>
      </c>
      <c r="B122" s="28" t="s">
        <v>499</v>
      </c>
      <c r="C122" s="28" t="s">
        <v>500</v>
      </c>
      <c r="D122" s="28" t="s">
        <v>521</v>
      </c>
      <c r="E122" s="39" t="s">
        <v>270</v>
      </c>
      <c r="F122" s="37">
        <f>'приложение №2'!E85-'приложение №2'!D85</f>
        <v>481104</v>
      </c>
      <c r="G122" s="37">
        <f>'приложение №2'!F85-'приложение №2'!E85</f>
        <v>-184291</v>
      </c>
      <c r="H122" s="37">
        <f>'приложение №2'!G85-'приложение №2'!F85</f>
        <v>101484</v>
      </c>
      <c r="I122" s="37">
        <f>'приложение №2'!H85-'приложение №2'!G85</f>
        <v>406338</v>
      </c>
      <c r="J122" s="39" t="s">
        <v>270</v>
      </c>
      <c r="K122" s="39" t="s">
        <v>270</v>
      </c>
      <c r="L122" s="39" t="s">
        <v>270</v>
      </c>
      <c r="M122" s="39" t="s">
        <v>270</v>
      </c>
      <c r="N122" s="39" t="s">
        <v>270</v>
      </c>
      <c r="O122" s="39" t="s">
        <v>270</v>
      </c>
      <c r="P122" s="39" t="s">
        <v>270</v>
      </c>
      <c r="Q122" s="39" t="s">
        <v>270</v>
      </c>
      <c r="R122" s="39" t="s">
        <v>270</v>
      </c>
    </row>
    <row r="123" spans="1:18" ht="26.25" customHeight="1" thickBot="1">
      <c r="A123" s="78" t="s">
        <v>501</v>
      </c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7"/>
      <c r="N123" s="28"/>
      <c r="O123" s="28"/>
      <c r="P123" s="28"/>
      <c r="Q123" s="28"/>
      <c r="R123" s="28"/>
    </row>
    <row r="124" spans="1:18" ht="117" customHeight="1">
      <c r="A124" s="28" t="s">
        <v>502</v>
      </c>
      <c r="B124" s="28" t="s">
        <v>503</v>
      </c>
      <c r="C124" s="28" t="s">
        <v>206</v>
      </c>
      <c r="D124" s="28" t="s">
        <v>506</v>
      </c>
      <c r="E124" s="39" t="s">
        <v>270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f>'приложение №2'!S86-'приложение №2'!R86</f>
        <v>0</v>
      </c>
      <c r="N124" s="32">
        <f>'приложение №2'!T86-'приложение №2'!S86</f>
        <v>0</v>
      </c>
      <c r="O124" s="32">
        <f>'приложение №2'!U86-'приложение №2'!T86</f>
        <v>0</v>
      </c>
      <c r="P124" s="32">
        <f>'приложение №2'!V86-'приложение №2'!U86</f>
        <v>0</v>
      </c>
      <c r="Q124" s="32">
        <f>'приложение №2'!W86-'приложение №2'!V86</f>
        <v>0</v>
      </c>
      <c r="R124" s="32">
        <f>'приложение №2'!X86-'приложение №2'!W86</f>
        <v>0</v>
      </c>
    </row>
    <row r="125" spans="1:18" ht="129" customHeight="1">
      <c r="A125" s="28" t="s">
        <v>504</v>
      </c>
      <c r="B125" s="28" t="s">
        <v>505</v>
      </c>
      <c r="C125" s="28" t="s">
        <v>206</v>
      </c>
      <c r="D125" s="28" t="s">
        <v>507</v>
      </c>
      <c r="E125" s="39" t="s">
        <v>270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f>'приложение №2'!S87-'приложение №2'!R87</f>
        <v>0</v>
      </c>
      <c r="N125" s="32">
        <f>'приложение №2'!T87-'приложение №2'!S87</f>
        <v>0</v>
      </c>
      <c r="O125" s="32">
        <f>'приложение №2'!U87-'приложение №2'!T87</f>
        <v>0</v>
      </c>
      <c r="P125" s="32">
        <f>'приложение №2'!V87-'приложение №2'!U87</f>
        <v>0</v>
      </c>
      <c r="Q125" s="32">
        <f>'приложение №2'!W87-'приложение №2'!V87</f>
        <v>0</v>
      </c>
      <c r="R125" s="32">
        <f>'приложение №2'!X87-'приложение №2'!W87</f>
        <v>0</v>
      </c>
    </row>
  </sheetData>
  <sheetProtection/>
  <mergeCells count="13">
    <mergeCell ref="Q1:R1"/>
    <mergeCell ref="Q2:R2"/>
    <mergeCell ref="A17:R17"/>
    <mergeCell ref="A26:M26"/>
    <mergeCell ref="A59:R59"/>
    <mergeCell ref="A116:M116"/>
    <mergeCell ref="A123:M123"/>
    <mergeCell ref="A8:R8"/>
    <mergeCell ref="E5:R5"/>
    <mergeCell ref="A5:A6"/>
    <mergeCell ref="B5:B6"/>
    <mergeCell ref="C5:C6"/>
    <mergeCell ref="D5:D6"/>
  </mergeCells>
  <printOptions/>
  <pageMargins left="0" right="0" top="0" bottom="0" header="0" footer="0"/>
  <pageSetup horizontalDpi="600" verticalDpi="600" orientation="landscape" paperSize="9" scale="47" r:id="rId1"/>
  <rowBreaks count="2" manualBreakCount="2">
    <brk id="25" max="255" man="1"/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5:R24"/>
  <sheetViews>
    <sheetView zoomScale="70" zoomScaleNormal="70" zoomScalePageLayoutView="0" workbookViewId="0" topLeftCell="A1">
      <selection activeCell="E21" sqref="E21"/>
    </sheetView>
  </sheetViews>
  <sheetFormatPr defaultColWidth="9.140625" defaultRowHeight="15" outlineLevelRow="3"/>
  <cols>
    <col min="1" max="1" width="5.8515625" style="0" customWidth="1"/>
    <col min="2" max="2" width="30.00390625" style="0" customWidth="1"/>
    <col min="3" max="3" width="9.8515625" style="0" customWidth="1"/>
    <col min="4" max="4" width="14.8515625" style="0" customWidth="1"/>
    <col min="5" max="5" width="14.140625" style="0" customWidth="1"/>
    <col min="6" max="6" width="14.7109375" style="0" customWidth="1"/>
    <col min="7" max="7" width="13.8515625" style="0" customWidth="1"/>
    <col min="8" max="8" width="15.140625" style="0" customWidth="1"/>
    <col min="9" max="9" width="13.57421875" style="0" customWidth="1"/>
    <col min="10" max="10" width="14.7109375" style="0" customWidth="1"/>
    <col min="11" max="11" width="14.8515625" style="0" customWidth="1"/>
    <col min="12" max="12" width="15.00390625" style="0" customWidth="1"/>
    <col min="13" max="13" width="14.28125" style="0" customWidth="1"/>
    <col min="14" max="14" width="14.7109375" style="0" customWidth="1"/>
    <col min="15" max="15" width="14.421875" style="0" customWidth="1"/>
    <col min="16" max="16" width="14.28125" style="0" customWidth="1"/>
    <col min="17" max="17" width="13.8515625" style="0" customWidth="1"/>
  </cols>
  <sheetData>
    <row r="5" ht="15">
      <c r="N5" s="3"/>
    </row>
    <row r="8" spans="1:17" ht="55.5" customHeight="1">
      <c r="A8" s="4"/>
      <c r="B8" s="5"/>
      <c r="C8" s="4"/>
      <c r="D8" s="6">
        <v>2007</v>
      </c>
      <c r="E8" s="6">
        <v>2008</v>
      </c>
      <c r="F8" s="6">
        <v>2009</v>
      </c>
      <c r="G8" s="6">
        <v>2010</v>
      </c>
      <c r="H8" s="6">
        <v>2011</v>
      </c>
      <c r="I8" s="6">
        <v>2012</v>
      </c>
      <c r="J8" s="6">
        <v>2013</v>
      </c>
      <c r="K8" s="6">
        <v>2014</v>
      </c>
      <c r="L8" s="6">
        <v>2015</v>
      </c>
      <c r="M8" s="6">
        <v>2016</v>
      </c>
      <c r="N8" s="6">
        <v>2017</v>
      </c>
      <c r="O8" s="6">
        <v>2018</v>
      </c>
      <c r="P8" s="6">
        <v>2019</v>
      </c>
      <c r="Q8" s="6">
        <v>2020</v>
      </c>
    </row>
    <row r="9" spans="1:17" ht="35.25" customHeight="1" outlineLevel="3">
      <c r="A9" s="7">
        <v>1</v>
      </c>
      <c r="B9" s="8" t="s">
        <v>71</v>
      </c>
      <c r="C9" s="9" t="s">
        <v>526</v>
      </c>
      <c r="D9" s="10">
        <f>(D10*D11+D12*D13+D14*D15+D18*D19+D16*D17)/1000000000</f>
        <v>0.89399475054766</v>
      </c>
      <c r="E9" s="10">
        <f aca="true" t="shared" si="0" ref="E9:Q9">(E10*E11+E12*E13+E14*E15+E18*E19+E16*E17)/1000000000</f>
        <v>1.06194748202057</v>
      </c>
      <c r="F9" s="10">
        <f t="shared" si="0"/>
        <v>1.21973303128251</v>
      </c>
      <c r="G9" s="10">
        <f t="shared" si="0"/>
        <v>1.5076204327592901</v>
      </c>
      <c r="H9" s="10">
        <f t="shared" si="0"/>
        <v>1.6788685343218201</v>
      </c>
      <c r="I9" s="10">
        <f t="shared" si="0"/>
        <v>1.8408552510900003</v>
      </c>
      <c r="J9" s="10">
        <f t="shared" si="0"/>
        <v>2.028006067396</v>
      </c>
      <c r="K9" s="10">
        <f t="shared" si="0"/>
        <v>2.226683173532</v>
      </c>
      <c r="L9" s="10">
        <f t="shared" si="0"/>
        <v>2.444312801068</v>
      </c>
      <c r="M9" s="10">
        <f t="shared" si="0"/>
        <v>2.687659296612</v>
      </c>
      <c r="N9" s="10">
        <f t="shared" si="0"/>
        <v>2.955128284976</v>
      </c>
      <c r="O9" s="10">
        <f t="shared" si="0"/>
        <v>3.249395288432</v>
      </c>
      <c r="P9" s="10">
        <f t="shared" si="0"/>
        <v>3.572838697036</v>
      </c>
      <c r="Q9" s="10">
        <f t="shared" si="0"/>
        <v>3.928601511496</v>
      </c>
    </row>
    <row r="10" spans="1:17" ht="15" outlineLevel="2">
      <c r="A10" s="89"/>
      <c r="B10" s="5" t="s">
        <v>527</v>
      </c>
      <c r="C10" s="4" t="s">
        <v>528</v>
      </c>
      <c r="D10" s="11">
        <v>3499997.734</v>
      </c>
      <c r="E10" s="11">
        <v>3590318.393</v>
      </c>
      <c r="F10" s="11">
        <v>3486511.311</v>
      </c>
      <c r="G10" s="11">
        <v>3585880.1465000003</v>
      </c>
      <c r="H10" s="11">
        <v>3412445.683</v>
      </c>
      <c r="I10" s="11">
        <v>3400900</v>
      </c>
      <c r="J10" s="11">
        <v>3391380</v>
      </c>
      <c r="K10" s="11">
        <v>3391380</v>
      </c>
      <c r="L10" s="11">
        <v>3391380</v>
      </c>
      <c r="M10" s="11">
        <v>3391380</v>
      </c>
      <c r="N10" s="11">
        <v>3391380</v>
      </c>
      <c r="O10" s="11">
        <v>3391380</v>
      </c>
      <c r="P10" s="11">
        <v>3391380</v>
      </c>
      <c r="Q10" s="11">
        <v>3391380</v>
      </c>
    </row>
    <row r="11" spans="1:17" ht="15" outlineLevel="2">
      <c r="A11" s="89"/>
      <c r="B11" s="12" t="s">
        <v>529</v>
      </c>
      <c r="C11" s="13" t="s">
        <v>63</v>
      </c>
      <c r="D11" s="11">
        <v>37.87</v>
      </c>
      <c r="E11" s="11">
        <v>42.13</v>
      </c>
      <c r="F11" s="11">
        <v>51.56</v>
      </c>
      <c r="G11" s="11">
        <v>62.46</v>
      </c>
      <c r="H11" s="11">
        <v>68.1</v>
      </c>
      <c r="I11" s="11">
        <v>74.9</v>
      </c>
      <c r="J11" s="11">
        <v>82.4</v>
      </c>
      <c r="K11" s="11">
        <v>90.64</v>
      </c>
      <c r="L11" s="11">
        <v>99.7</v>
      </c>
      <c r="M11" s="11">
        <v>109.67</v>
      </c>
      <c r="N11" s="11">
        <v>120.64</v>
      </c>
      <c r="O11" s="11">
        <v>132.7</v>
      </c>
      <c r="P11" s="11">
        <v>145.97</v>
      </c>
      <c r="Q11" s="11">
        <v>160.57</v>
      </c>
    </row>
    <row r="12" spans="1:17" ht="15" outlineLevel="2">
      <c r="A12" s="89"/>
      <c r="B12" s="5" t="s">
        <v>530</v>
      </c>
      <c r="C12" s="4" t="s">
        <v>31</v>
      </c>
      <c r="D12" s="11">
        <v>622406.852</v>
      </c>
      <c r="E12" s="11">
        <v>651732.218</v>
      </c>
      <c r="F12" s="11">
        <v>627864.247</v>
      </c>
      <c r="G12" s="11">
        <v>659778.79</v>
      </c>
      <c r="H12" s="11">
        <v>640105.862</v>
      </c>
      <c r="I12" s="11">
        <v>631647.24</v>
      </c>
      <c r="J12" s="11">
        <v>628187.6</v>
      </c>
      <c r="K12" s="11">
        <v>628187.6</v>
      </c>
      <c r="L12" s="11">
        <v>628187.6</v>
      </c>
      <c r="M12" s="11">
        <v>628187.6</v>
      </c>
      <c r="N12" s="11">
        <v>628187.6</v>
      </c>
      <c r="O12" s="11">
        <v>628187.6</v>
      </c>
      <c r="P12" s="11">
        <v>628187.6</v>
      </c>
      <c r="Q12" s="11">
        <v>628187.6</v>
      </c>
    </row>
    <row r="13" spans="1:17" ht="15" outlineLevel="2">
      <c r="A13" s="89"/>
      <c r="B13" s="12" t="s">
        <v>529</v>
      </c>
      <c r="C13" s="13" t="s">
        <v>62</v>
      </c>
      <c r="D13" s="11">
        <v>928.79</v>
      </c>
      <c r="E13" s="11">
        <v>1035.86</v>
      </c>
      <c r="F13" s="11">
        <v>1205.05</v>
      </c>
      <c r="G13" s="11">
        <v>1433.91</v>
      </c>
      <c r="H13" s="11">
        <v>1688.96</v>
      </c>
      <c r="I13" s="11">
        <v>1860.25</v>
      </c>
      <c r="J13" s="11">
        <v>2039.66</v>
      </c>
      <c r="K13" s="11">
        <v>2238.76</v>
      </c>
      <c r="L13" s="11">
        <v>2456.43</v>
      </c>
      <c r="M13" s="11">
        <v>2702.07</v>
      </c>
      <c r="N13" s="11">
        <v>2972.28</v>
      </c>
      <c r="O13" s="11">
        <v>3269.51</v>
      </c>
      <c r="P13" s="11">
        <v>3596.46</v>
      </c>
      <c r="Q13" s="11">
        <v>3956.1</v>
      </c>
    </row>
    <row r="14" spans="1:17" ht="15" outlineLevel="2">
      <c r="A14" s="89"/>
      <c r="B14" s="5" t="s">
        <v>531</v>
      </c>
      <c r="C14" s="4" t="s">
        <v>532</v>
      </c>
      <c r="D14" s="11">
        <v>4135392</v>
      </c>
      <c r="E14" s="11">
        <v>4553940</v>
      </c>
      <c r="F14" s="11">
        <v>4509920</v>
      </c>
      <c r="G14" s="11">
        <v>4675035</v>
      </c>
      <c r="H14" s="11">
        <v>4385864</v>
      </c>
      <c r="I14" s="11">
        <v>4385864</v>
      </c>
      <c r="J14" s="11">
        <v>4385864</v>
      </c>
      <c r="K14" s="11">
        <v>4385864</v>
      </c>
      <c r="L14" s="11">
        <v>4385864</v>
      </c>
      <c r="M14" s="11">
        <v>4385864</v>
      </c>
      <c r="N14" s="11">
        <v>4385864</v>
      </c>
      <c r="O14" s="11">
        <v>4385864</v>
      </c>
      <c r="P14" s="11">
        <v>4385864</v>
      </c>
      <c r="Q14" s="11">
        <v>4385864</v>
      </c>
    </row>
    <row r="15" spans="1:17" ht="15" outlineLevel="2">
      <c r="A15" s="89"/>
      <c r="B15" s="12" t="s">
        <v>529</v>
      </c>
      <c r="C15" s="13" t="s">
        <v>64</v>
      </c>
      <c r="D15" s="11">
        <v>1.007</v>
      </c>
      <c r="E15" s="11">
        <v>1.278</v>
      </c>
      <c r="F15" s="11">
        <v>1.516</v>
      </c>
      <c r="G15" s="11">
        <v>1.785</v>
      </c>
      <c r="H15" s="11">
        <v>2.036</v>
      </c>
      <c r="I15" s="11">
        <v>2.32</v>
      </c>
      <c r="J15" s="11">
        <v>2.645</v>
      </c>
      <c r="K15" s="11">
        <v>2.909</v>
      </c>
      <c r="L15" s="11">
        <v>3.2</v>
      </c>
      <c r="M15" s="11">
        <v>3.52</v>
      </c>
      <c r="N15" s="11">
        <v>3.872</v>
      </c>
      <c r="O15" s="11">
        <v>4.259</v>
      </c>
      <c r="P15" s="11">
        <v>4.685</v>
      </c>
      <c r="Q15" s="11">
        <v>5.154</v>
      </c>
    </row>
    <row r="16" spans="1:17" ht="15" outlineLevel="2">
      <c r="A16" s="54"/>
      <c r="B16" s="5" t="s">
        <v>536</v>
      </c>
      <c r="C16" s="4" t="s">
        <v>532</v>
      </c>
      <c r="D16" s="11">
        <v>152441364</v>
      </c>
      <c r="E16" s="11">
        <v>159083347</v>
      </c>
      <c r="F16" s="57">
        <v>159716470</v>
      </c>
      <c r="G16" s="11">
        <v>164374909</v>
      </c>
      <c r="H16" s="57">
        <v>155420514.5</v>
      </c>
      <c r="I16" s="57">
        <v>153693620</v>
      </c>
      <c r="J16" s="57">
        <v>153693620</v>
      </c>
      <c r="K16" s="57">
        <v>153693620</v>
      </c>
      <c r="L16" s="57">
        <v>153693620</v>
      </c>
      <c r="M16" s="57">
        <v>153693620</v>
      </c>
      <c r="N16" s="57">
        <v>153693620</v>
      </c>
      <c r="O16" s="57">
        <v>153693620</v>
      </c>
      <c r="P16" s="57">
        <v>153693620</v>
      </c>
      <c r="Q16" s="57">
        <v>153693620</v>
      </c>
    </row>
    <row r="17" spans="1:17" ht="15" outlineLevel="2">
      <c r="A17" s="54"/>
      <c r="B17" s="12" t="s">
        <v>529</v>
      </c>
      <c r="C17" s="13" t="s">
        <v>64</v>
      </c>
      <c r="D17" s="11">
        <v>1.007</v>
      </c>
      <c r="E17" s="11">
        <v>1.278</v>
      </c>
      <c r="F17" s="11">
        <v>1.516</v>
      </c>
      <c r="G17" s="11">
        <v>1.785</v>
      </c>
      <c r="H17" s="11">
        <v>2.036</v>
      </c>
      <c r="I17" s="11">
        <v>2.32</v>
      </c>
      <c r="J17" s="11">
        <v>2.645</v>
      </c>
      <c r="K17" s="11">
        <v>2.909</v>
      </c>
      <c r="L17" s="11">
        <v>3.2</v>
      </c>
      <c r="M17" s="11">
        <v>3.52</v>
      </c>
      <c r="N17" s="11">
        <v>3.872</v>
      </c>
      <c r="O17" s="11">
        <v>4.259</v>
      </c>
      <c r="P17" s="11">
        <v>4.685</v>
      </c>
      <c r="Q17" s="11">
        <v>5.154</v>
      </c>
    </row>
    <row r="18" spans="1:17" ht="15" outlineLevel="2">
      <c r="A18" s="54"/>
      <c r="B18" s="4" t="s">
        <v>533</v>
      </c>
      <c r="C18" s="13" t="s">
        <v>534</v>
      </c>
      <c r="D18" s="11">
        <v>107497</v>
      </c>
      <c r="E18" s="11">
        <v>102940</v>
      </c>
      <c r="F18" s="11">
        <v>110590</v>
      </c>
      <c r="G18" s="11">
        <v>112316</v>
      </c>
      <c r="H18" s="11">
        <v>113000</v>
      </c>
      <c r="I18" s="11">
        <v>116130</v>
      </c>
      <c r="J18" s="11">
        <v>119000</v>
      </c>
      <c r="K18" s="11">
        <v>119000</v>
      </c>
      <c r="L18" s="11">
        <v>119000</v>
      </c>
      <c r="M18" s="11">
        <v>119000</v>
      </c>
      <c r="N18" s="11">
        <v>119000</v>
      </c>
      <c r="O18" s="11">
        <v>119000</v>
      </c>
      <c r="P18" s="11">
        <v>119000</v>
      </c>
      <c r="Q18" s="11">
        <v>119000</v>
      </c>
    </row>
    <row r="19" spans="1:17" ht="15">
      <c r="A19" s="4"/>
      <c r="B19" s="14" t="s">
        <v>535</v>
      </c>
      <c r="C19" s="4" t="s">
        <v>70</v>
      </c>
      <c r="D19" s="4">
        <v>239</v>
      </c>
      <c r="E19" s="4">
        <v>257</v>
      </c>
      <c r="F19" s="4">
        <v>311</v>
      </c>
      <c r="G19" s="4">
        <v>319</v>
      </c>
      <c r="H19" s="4">
        <v>354</v>
      </c>
      <c r="I19" s="4">
        <v>382</v>
      </c>
      <c r="J19" s="4">
        <v>413</v>
      </c>
      <c r="K19" s="4">
        <v>446</v>
      </c>
      <c r="L19" s="4">
        <v>481</v>
      </c>
      <c r="M19" s="4">
        <v>520</v>
      </c>
      <c r="N19" s="4">
        <v>561</v>
      </c>
      <c r="O19" s="4">
        <v>607</v>
      </c>
      <c r="P19" s="4">
        <v>655</v>
      </c>
      <c r="Q19" s="4">
        <v>707</v>
      </c>
    </row>
    <row r="20" spans="1:17" ht="70.5" customHeight="1">
      <c r="A20" s="7">
        <v>2</v>
      </c>
      <c r="B20" s="8" t="s">
        <v>73</v>
      </c>
      <c r="C20" s="7" t="s">
        <v>74</v>
      </c>
      <c r="D20" s="7">
        <v>113.953</v>
      </c>
      <c r="E20" s="7">
        <v>113.574</v>
      </c>
      <c r="F20" s="7">
        <v>127.28099999999999</v>
      </c>
      <c r="G20" s="15">
        <v>128.132</v>
      </c>
      <c r="H20" s="7">
        <v>105.854</v>
      </c>
      <c r="I20" s="7">
        <v>105.854</v>
      </c>
      <c r="J20" s="7">
        <v>105.854</v>
      </c>
      <c r="K20" s="7">
        <v>105.854</v>
      </c>
      <c r="L20" s="7">
        <v>105.854</v>
      </c>
      <c r="M20" s="7">
        <v>105.854</v>
      </c>
      <c r="N20" s="7">
        <v>105.854</v>
      </c>
      <c r="O20" s="7">
        <v>105.854</v>
      </c>
      <c r="P20" s="7">
        <v>105.854</v>
      </c>
      <c r="Q20" s="7">
        <v>105.854</v>
      </c>
    </row>
    <row r="21" spans="1:18" ht="92.25" customHeight="1" outlineLevel="1">
      <c r="A21" s="7">
        <v>3</v>
      </c>
      <c r="B21" s="16" t="s">
        <v>201</v>
      </c>
      <c r="C21" s="2" t="s">
        <v>202</v>
      </c>
      <c r="D21" s="17">
        <f aca="true" t="shared" si="1" ref="D21:Q21">D20/D9</f>
        <v>127.46495427427571</v>
      </c>
      <c r="E21" s="17">
        <f t="shared" si="1"/>
        <v>106.94879165201509</v>
      </c>
      <c r="F21" s="17">
        <f t="shared" si="1"/>
        <v>104.35152343637698</v>
      </c>
      <c r="G21" s="17">
        <f t="shared" si="1"/>
        <v>84.98956183917535</v>
      </c>
      <c r="H21" s="17">
        <f t="shared" si="1"/>
        <v>63.05079750795364</v>
      </c>
      <c r="I21" s="17">
        <f t="shared" si="1"/>
        <v>57.50262001171582</v>
      </c>
      <c r="J21" s="17">
        <f t="shared" si="1"/>
        <v>52.19609630454343</v>
      </c>
      <c r="K21" s="17">
        <f t="shared" si="1"/>
        <v>47.53886913875256</v>
      </c>
      <c r="L21" s="17">
        <f t="shared" si="1"/>
        <v>43.30624130992929</v>
      </c>
      <c r="M21" s="17">
        <f t="shared" si="1"/>
        <v>39.38520039851668</v>
      </c>
      <c r="N21" s="17">
        <f t="shared" si="1"/>
        <v>35.82044154839785</v>
      </c>
      <c r="O21" s="17">
        <f t="shared" si="1"/>
        <v>32.576522892381</v>
      </c>
      <c r="P21" s="17">
        <f t="shared" si="1"/>
        <v>29.627422051775156</v>
      </c>
      <c r="Q21" s="17">
        <f t="shared" si="1"/>
        <v>26.944448219104594</v>
      </c>
      <c r="R21" s="18">
        <f>Q21/D21</f>
        <v>0.21138710928437823</v>
      </c>
    </row>
    <row r="22" spans="1:18" ht="51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21"/>
    </row>
    <row r="24" ht="15">
      <c r="Q24" s="22"/>
    </row>
  </sheetData>
  <sheetProtection/>
  <mergeCells count="1">
    <mergeCell ref="A10:A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2011-04-18T08:41:49Z</dcterms:modified>
  <cp:category/>
  <cp:version/>
  <cp:contentType/>
  <cp:contentStatus/>
</cp:coreProperties>
</file>